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Índice" sheetId="1" r:id="rId1"/>
    <sheet name="AMTA" sheetId="2" r:id="rId2"/>
    <sheet name="AG. ADM.DIGITAL" sheetId="3" r:id="rId3"/>
    <sheet name="ARPROMA" sheetId="4" r:id="rId4"/>
    <sheet name="Hosp. FUENLABRADA" sheetId="5" r:id="rId5"/>
    <sheet name="INVICAM" sheetId="6" r:id="rId6"/>
    <sheet name="MADRID ACTIVA" sheetId="7" r:id="rId7"/>
    <sheet name="NUEVO ARPEGIO" sheetId="8" r:id="rId8"/>
    <sheet name="RTVM" sheetId="9" r:id="rId9"/>
    <sheet name="SIGMA" sheetId="10" r:id="rId10"/>
    <sheet name="MADRID CULTURA Y TURISMO" sheetId="11" r:id="rId11"/>
    <sheet name="UCR" sheetId="12" r:id="rId12"/>
    <sheet name="IECSUASV" sheetId="13" r:id="rId13"/>
    <sheet name="ALCALINGUA" sheetId="14" r:id="rId14"/>
    <sheet name="CANAL Comunic." sheetId="15" r:id="rId15"/>
    <sheet name="CYII" sheetId="16" r:id="rId16"/>
    <sheet name="CYII Gestión" sheetId="17" r:id="rId17"/>
    <sheet name="CANAL Energ. Comercial." sheetId="18" r:id="rId18"/>
    <sheet name="CANAL Energ. Distrib." sheetId="19" r:id="rId19"/>
    <sheet name="CANAL Energ. Gener." sheetId="20" r:id="rId20"/>
    <sheet name="CANAL Energía" sheetId="21" r:id="rId21"/>
    <sheet name="CANAL Extensia" sheetId="22" r:id="rId22"/>
    <sheet name="CANAL Gas Distrib." sheetId="23" r:id="rId23"/>
    <sheet name="CANAL Gest. Lanzarote" sheetId="24" r:id="rId24"/>
    <sheet name="CTC" sheetId="25" r:id="rId25"/>
    <sheet name="CRUSA" sheetId="26" r:id="rId26"/>
    <sheet name="GEDESMA" sheetId="27" r:id="rId27"/>
    <sheet name="HIDRÁULICA" sheetId="28" r:id="rId28"/>
    <sheet name="HISPANAGUA" sheetId="29" r:id="rId29"/>
    <sheet name="METRO" sheetId="30" r:id="rId30"/>
    <sheet name="PARTICIPACIONES CRM" sheetId="31" r:id="rId31"/>
  </sheets>
  <externalReferences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<sst xmlns="http://schemas.openxmlformats.org/spreadsheetml/2006/main" count="3540" uniqueCount="173">
  <si>
    <t>AGENCIA MADRILEÑA PARA LA TUTELA DE ADULTOS (AMTA).</t>
  </si>
  <si>
    <t>AGENCIA PARA LA ADMINISTRACIÓN DIGITAL DE LA COMUNIDAD DE MADRID.</t>
  </si>
  <si>
    <t>EMPRESA PÚBLICA HOSPITAL UNIVERSITARIO DE FUENLABRADA.</t>
  </si>
  <si>
    <t>EMPRESAS Y ENTES PÚBLICOS DE LA COMUNIDAD DE MADRID</t>
  </si>
  <si>
    <t/>
  </si>
  <si>
    <t>(miles de euros)</t>
  </si>
  <si>
    <t>T</t>
  </si>
  <si>
    <t>T-1</t>
  </si>
  <si>
    <t>CUENTA DE PÉRDIDAS Y GANANCIAS</t>
  </si>
  <si>
    <t xml:space="preserve"> CUADRO D2: Cuestionario de información contable normalizada para sociedades, fundaciones, consorcios y demás entidades públicas sujetas, según su normativa específica, al Plan General de Contabilidad de la empresa española o a alguna de sus adaptaciones sectoriales  CUENTA DE PÉRDIDAS Y GANANCIAS Y ESTADO DE INGRESOS Y GASTOS RECONOCIDOS  Unidad: todo el cuestionario debe completarse en miles de euros sin decimales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</si>
  <si>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</si>
  <si>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</si>
  <si>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</si>
  <si>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</si>
  <si>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</si>
  <si>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</si>
  <si>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</si>
  <si>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 xml:space="preserve"> </t>
  </si>
  <si>
    <t>4. Aprovisionamientos.</t>
  </si>
  <si>
    <t>(600),  6060, 6080, 6090, 610</t>
  </si>
  <si>
    <t xml:space="preserve">         a) Consumo de mercaderías.</t>
  </si>
  <si>
    <t>(601), (602), 6061, 6062, 6081, 6082, 6091, 6092, 611, 612</t>
  </si>
  <si>
    <t xml:space="preserve">         b) Consumo de materias primas y otras materias consumibles.</t>
  </si>
  <si>
    <t>(607)</t>
  </si>
  <si>
    <t xml:space="preserve">         c) Trabajos realizados por otras empresas.</t>
  </si>
  <si>
    <t>(6931), (6932), (6933), 7931, 7932, 7933</t>
  </si>
  <si>
    <t xml:space="preserve">         d) Deterioro de mercaderías, materias primas y otros aprovisionamientos.</t>
  </si>
  <si>
    <t>5. Otros ingresos de explotación.</t>
  </si>
  <si>
    <t>75</t>
  </si>
  <si>
    <t xml:space="preserve">         a) Ingresos accesorios y otros de gestión corriente.</t>
  </si>
  <si>
    <t>740, 747</t>
  </si>
  <si>
    <t xml:space="preserve">         b) Subvenciones de explotación incorporadas al resultado del ejercicio.</t>
  </si>
  <si>
    <t>6. Gastos de personal.</t>
  </si>
  <si>
    <t>(640) (641) (6450)</t>
  </si>
  <si>
    <t xml:space="preserve">         a) Sueldos, salarios y asimilados.</t>
  </si>
  <si>
    <t>(642), (643), (649)</t>
  </si>
  <si>
    <t xml:space="preserve">         b) Cargas sociales.</t>
  </si>
  <si>
    <t>(644), (6457), 7950, 7957</t>
  </si>
  <si>
    <t xml:space="preserve">         c) Provisiones.</t>
  </si>
  <si>
    <t>7. Otros gastos de explotación.</t>
  </si>
  <si>
    <t xml:space="preserve"> (625) (620), (621), (622), (623), (624), (626), (627), (628), (629)</t>
  </si>
  <si>
    <t xml:space="preserve">         a) Servicios exteriores.</t>
  </si>
  <si>
    <t>(631), (634), 636, 639</t>
  </si>
  <si>
    <t xml:space="preserve">         b) Tributos.</t>
  </si>
  <si>
    <t>(650), (694), (695), 794, 7954</t>
  </si>
  <si>
    <t xml:space="preserve">         c) Pérdidas, deterioro y variación de provisiones por operaciones comerciales.</t>
  </si>
  <si>
    <t>(651), (659)</t>
  </si>
  <si>
    <t xml:space="preserve">         d) Otros gastos de gestión corriente.</t>
  </si>
  <si>
    <t>8. Amortización de inmovilizado.</t>
  </si>
  <si>
    <t>(680)</t>
  </si>
  <si>
    <t xml:space="preserve">         a) Amortización del inmovilizado intangible</t>
  </si>
  <si>
    <t>(681)</t>
  </si>
  <si>
    <t xml:space="preserve">         b) Amortización del inmovilizado material</t>
  </si>
  <si>
    <t>(682)</t>
  </si>
  <si>
    <t xml:space="preserve">         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</si>
  <si>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</si>
  <si>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</si>
  <si>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</si>
  <si>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</si>
  <si>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 xml:space="preserve">         a) Deterioros y pérdidas.</t>
  </si>
  <si>
    <t>(690), 790</t>
  </si>
  <si>
    <t xml:space="preserve">         Del inmovilizado intangible</t>
  </si>
  <si>
    <t>(691), 791</t>
  </si>
  <si>
    <t xml:space="preserve">         Del inmovilizado material</t>
  </si>
  <si>
    <t>(692), 792</t>
  </si>
  <si>
    <t xml:space="preserve">         De las inversiones inmobiliarias</t>
  </si>
  <si>
    <t xml:space="preserve">         b) Resultados por enajenaciones y otras..</t>
  </si>
  <si>
    <t>(670), 770</t>
  </si>
  <si>
    <t>(671), 771</t>
  </si>
  <si>
    <t>(672), 772</t>
  </si>
  <si>
    <t>774;(NECA 7Âª 6)</t>
  </si>
  <si>
    <t>12. Diferencia negativa de combinaciones de negocio</t>
  </si>
  <si>
    <t>13. Otros resultados</t>
  </si>
  <si>
    <t>(678)</t>
  </si>
  <si>
    <t xml:space="preserve">         Gastos excepcionales</t>
  </si>
  <si>
    <t>778</t>
  </si>
  <si>
    <t xml:space="preserve">         Ingresos excepcionales</t>
  </si>
  <si>
    <t>A.1) RESULTADO DE EXPLOTACIÓN (1+2+3+4+5+6+7+8+9+10+11+12+13)</t>
  </si>
  <si>
    <t>14. Ingresos financieros.</t>
  </si>
  <si>
    <t>760</t>
  </si>
  <si>
    <t xml:space="preserve">         a) De participaciones en instrumentos de patrimonio.</t>
  </si>
  <si>
    <t>761, 762, 767, 769</t>
  </si>
  <si>
    <t xml:space="preserve">         b) De valores negociables y otros instrumentos financieros.</t>
  </si>
  <si>
    <t>15. Gastos financieros.</t>
  </si>
  <si>
    <t>(6610), (6611), (6615), (6616), (6620), (6621), (6640), (6641), (6650), (6651), (6654), (6655)</t>
  </si>
  <si>
    <t xml:space="preserve">         a) Por deudas con empresas del grupo y asociadas.</t>
  </si>
  <si>
    <t>(6612), (6613), (6617), (6618), (6622), (6623), (6624), (6642), (6643), (6652), (6653), (6656), (6657), (669)</t>
  </si>
  <si>
    <t xml:space="preserve">         b) Por deudas con terceros.</t>
  </si>
  <si>
    <t>(660)</t>
  </si>
  <si>
    <t xml:space="preserve">         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</si>
  <si>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</si>
  <si>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</si>
  <si>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</si>
  <si>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</si>
  <si>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</si>
  <si>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</si>
  <si>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</si>
  <si>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</si>
  <si>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</si>
  <si>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</si>
  <si>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</si>
  <si>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</si>
  <si>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</si>
  <si>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</si>
  <si>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</si>
  <si>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 xml:space="preserve"> CUADRO D2: CUENTA DE PÉRDIDAS Y GANANCIAS Y ESTADO DE INGRESOS Y GASTOS RECONOCIDOS</t>
  </si>
  <si>
    <t xml:space="preserve">(miles de euros) </t>
  </si>
  <si>
    <t>OBRAS DE MADRID, GESTIÓN DE OBRAS E INFRAESTRUCTURAS, S.A. (ARPROMA).</t>
  </si>
  <si>
    <t>INNOVACIÓN Y VIVIENDA DE LA COMUNIDAD DE MADRID, S.A. (INVICAM).</t>
  </si>
  <si>
    <t>MADRID ACTIVA, S.A.</t>
  </si>
  <si>
    <t>NUEVO ARPEGIO, S.A.</t>
  </si>
  <si>
    <t>RADIO TELEVISIÓN MADRID (RTVM).</t>
  </si>
  <si>
    <t>SIGMA GESTIÓN UNIVERSITARIA, A.I.E.</t>
  </si>
  <si>
    <t>UNIDAD CENTRAL DE RADIODIAGNÓSTICO (UCR).</t>
  </si>
  <si>
    <t>AGRUPACIÓN DE INTERÉS ECONÓMICO CENTRO SUPERIOR DE INVESTIGACIÓN DEL AUTOMÓVIL Y DE LA SEGURIDAD VIAL.</t>
  </si>
  <si>
    <t>ALCALINGUA – UNIVERSIDAD DE ALCALÁ, S.R.L.</t>
  </si>
  <si>
    <t>CANAL DE COMUNICACIONES UNIDAS, S.A.</t>
  </si>
  <si>
    <t>CANAL DE ISABEL II</t>
  </si>
  <si>
    <t>CANAL DE ISABEL II GESTIÓN S.A.</t>
  </si>
  <si>
    <t>CANAL DE ENERGÍA COMERCIALIZACIÓN.</t>
  </si>
  <si>
    <t>CANAL ENERGÍA DISTRIBUCIÓN, S.L.</t>
  </si>
  <si>
    <t>CANAL ENERGÍA GENERACIÓN, S.L.</t>
  </si>
  <si>
    <t>CANAL ENERGÍA, S.L.</t>
  </si>
  <si>
    <t>CANAL EXTENSIA, S.A.</t>
  </si>
  <si>
    <t>CANAL GAS DISTRIBUCIÓN, S.L.</t>
  </si>
  <si>
    <t>CANAL GESTIÓN LANZAROTE, S.A.U.</t>
  </si>
  <si>
    <t>CENTRO DE TRANSPORTES DE COSLADA, S.A.</t>
  </si>
  <si>
    <t>CIUDAD RESIDENCIAL UNIVERSITARIA, S.A. (CRUSA).</t>
  </si>
  <si>
    <t>GESTIÓN Y DESARROLLO DEL MEDIO AMBIENTE DE MADRID, S.A. (GEDESMA).</t>
  </si>
  <si>
    <t>HIDRÁULICA SANTILLANA, S.A.</t>
  </si>
  <si>
    <t>HISPANAGUA, S.A.</t>
  </si>
  <si>
    <t>METRO DE MADRID, S.A.</t>
  </si>
  <si>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</si>
  <si>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>CUENTA DE PERDIDAS Y GANANCIAS</t>
  </si>
  <si>
    <t>a) Consumo de mercaderías.</t>
  </si>
  <si>
    <t>b) Consumo de materias primas y otras materias consumibles.</t>
  </si>
  <si>
    <t>c) Trabajos realizados por otras empresas.</t>
  </si>
  <si>
    <t>d) Deterioro de mercaderías, materias primas y otros aprovisionamientos.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</si>
  <si>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</si>
  <si>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</si>
  <si>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</si>
  <si>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</si>
  <si>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</si>
  <si>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</si>
  <si>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</si>
  <si>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</si>
  <si>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</si>
  <si>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Amortización del inmovilizado intangible</t>
  </si>
  <si>
    <t>b) Amortización del inmovilizado material</t>
  </si>
  <si>
    <t>c) Amortización de las inversiones inmobiliarias</t>
  </si>
  <si>
    <t>a) Deterioros y pérdidas.</t>
  </si>
  <si>
    <t>Del inmovilizado intangible</t>
  </si>
  <si>
    <t>Del inmovilizado material</t>
  </si>
  <si>
    <t>De las inversiones inmobiliarias</t>
  </si>
  <si>
    <t>b) Resultados por enajenaciones y otras..</t>
  </si>
  <si>
    <t>774;(NECA 7ª 6)</t>
  </si>
  <si>
    <t>Gastos excepcionales</t>
  </si>
  <si>
    <t>Ingresos excepcionales</t>
  </si>
  <si>
    <t>a) De participaciones en instrumentos de patrimonio.</t>
  </si>
  <si>
    <t>b) De valores negociables y otros instrumentos financieros.</t>
  </si>
  <si>
    <t>a) Por deudas con empresas del grupo y asociadas.</t>
  </si>
  <si>
    <t>b) Por deudas con terceros.</t>
  </si>
  <si>
    <t>c) Por actualización de provisiones.</t>
  </si>
  <si>
    <t>CUENTA DE PÉRDIDAS Y GANANCIAS 1T-2017</t>
  </si>
  <si>
    <t>Trimestre I_2017</t>
  </si>
  <si>
    <t xml:space="preserve"> Marzo 2017</t>
  </si>
  <si>
    <t xml:space="preserve"> Diciembre 2016</t>
  </si>
  <si>
    <t>1T   2017</t>
  </si>
  <si>
    <t>4T   2016</t>
  </si>
  <si>
    <t>MADRID CULTURA Y TURISMO, S.A.</t>
  </si>
  <si>
    <t>740, 741, 747</t>
  </si>
  <si>
    <t>(775)</t>
  </si>
  <si>
    <t>PARTICIPACIONES CRM, S.A. en liquidación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</si>
</sst>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,"/>
    <numFmt numFmtId="166" formatCode="#,###.00,;&quot;(&quot;#,###.00,&quot;)&quot;"/>
    <numFmt numFmtId="167" formatCode="_-* #,##0\ _€_-;\-* #,##0\ _€_-;_-* &quot;-&quot;??\ _€_-;_-@_-"/>
    <numFmt numFmtId="168" formatCode="[=0]0.00;###,##0.00"/>
    <numFmt numFmtId="169" formatCode="#,##0.00,;\-#,##0.00,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6"/>
      <color indexed="48"/>
      <name val="Verdana"/>
      <family val="2"/>
    </font>
    <font>
      <b/>
      <i/>
      <sz val="10"/>
      <color indexed="48"/>
      <name val="Verdana"/>
      <family val="2"/>
    </font>
    <font>
      <b/>
      <sz val="14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>
        <color indexed="63"/>
      </right>
      <top>
        <color indexed="63"/>
      </top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1" xfId="0" applyNumberFormat="1" applyFont="1" applyFill="1" applyBorder="1" applyAlignment="1" applyProtection="1">
      <alignment horizontal="left" vertical="center" wrapText="1"/>
      <protection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14" xfId="0" applyNumberFormat="1" applyFont="1" applyFill="1" applyBorder="1" applyAlignment="1" applyProtection="1">
      <alignment vertical="center" wrapText="1"/>
      <protection/>
    </xf>
    <xf numFmtId="4" fontId="5" fillId="37" borderId="14" xfId="0" applyNumberFormat="1" applyFont="1" applyFill="1" applyBorder="1" applyAlignment="1" applyProtection="1">
      <alignment horizontal="right" vertical="center"/>
      <protection locked="0"/>
    </xf>
    <xf numFmtId="0" fontId="6" fillId="38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" fillId="36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 quotePrefix="1">
      <alignment horizontal="right" vertical="center"/>
      <protection locked="0"/>
    </xf>
    <xf numFmtId="0" fontId="7" fillId="36" borderId="14" xfId="0" applyNumberFormat="1" applyFont="1" applyFill="1" applyBorder="1" applyAlignment="1" applyProtection="1">
      <alignment horizontal="left" vertical="center" wrapText="1"/>
      <protection/>
    </xf>
    <xf numFmtId="4" fontId="4" fillId="36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2" fillId="36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4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7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4" fillId="36" borderId="14" xfId="0" applyNumberFormat="1" applyFont="1" applyFill="1" applyBorder="1" applyAlignment="1" applyProtection="1">
      <alignment horizontal="right" vertical="center" wrapText="1"/>
      <protection/>
    </xf>
    <xf numFmtId="166" fontId="0" fillId="0" borderId="14" xfId="0" applyNumberFormat="1" applyFont="1" applyFill="1" applyBorder="1" applyAlignment="1" applyProtection="1">
      <alignment horizontal="right" vertical="center"/>
      <protection locked="0"/>
    </xf>
    <xf numFmtId="166" fontId="5" fillId="37" borderId="14" xfId="0" applyNumberFormat="1" applyFont="1" applyFill="1" applyBorder="1" applyAlignment="1" applyProtection="1">
      <alignment horizontal="right" vertical="center"/>
      <protection locked="0"/>
    </xf>
    <xf numFmtId="3" fontId="28" fillId="0" borderId="0" xfId="0" applyNumberFormat="1" applyFont="1" applyAlignment="1">
      <alignment/>
    </xf>
    <xf numFmtId="4" fontId="28" fillId="0" borderId="14" xfId="0" applyNumberFormat="1" applyFont="1" applyFill="1" applyBorder="1" applyAlignment="1" applyProtection="1">
      <alignment horizontal="right" vertical="center"/>
      <protection locked="0"/>
    </xf>
    <xf numFmtId="167" fontId="0" fillId="0" borderId="0" xfId="49" applyNumberFormat="1" applyFont="1" applyAlignment="1">
      <alignment/>
    </xf>
    <xf numFmtId="0" fontId="37" fillId="0" borderId="0" xfId="46" applyAlignment="1">
      <alignment/>
    </xf>
    <xf numFmtId="0" fontId="47" fillId="36" borderId="14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Continuous" wrapText="1"/>
    </xf>
    <xf numFmtId="49" fontId="47" fillId="36" borderId="15" xfId="0" applyNumberFormat="1" applyFont="1" applyFill="1" applyBorder="1" applyAlignment="1">
      <alignment horizontal="centerContinuous" wrapText="1"/>
    </xf>
    <xf numFmtId="168" fontId="3" fillId="36" borderId="15" xfId="0" applyNumberFormat="1" applyFont="1" applyFill="1" applyBorder="1" applyAlignment="1" applyProtection="1">
      <alignment horizontal="centerContinuous" wrapText="1"/>
      <protection locked="0"/>
    </xf>
    <xf numFmtId="49" fontId="6" fillId="38" borderId="15" xfId="0" applyNumberFormat="1" applyFont="1" applyFill="1" applyBorder="1" applyAlignment="1">
      <alignment wrapText="1"/>
    </xf>
    <xf numFmtId="168" fontId="6" fillId="0" borderId="15" xfId="0" applyNumberFormat="1" applyFont="1" applyBorder="1" applyAlignment="1" applyProtection="1">
      <alignment horizontal="right" wrapText="1"/>
      <protection locked="0"/>
    </xf>
    <xf numFmtId="168" fontId="6" fillId="39" borderId="15" xfId="0" applyNumberFormat="1" applyFont="1" applyFill="1" applyBorder="1" applyAlignment="1" applyProtection="1">
      <alignment horizontal="right" wrapText="1"/>
      <protection locked="0"/>
    </xf>
    <xf numFmtId="49" fontId="3" fillId="40" borderId="15" xfId="0" applyNumberFormat="1" applyFont="1" applyFill="1" applyBorder="1" applyAlignment="1">
      <alignment wrapText="1"/>
    </xf>
    <xf numFmtId="168" fontId="5" fillId="39" borderId="15" xfId="0" applyNumberFormat="1" applyFont="1" applyFill="1" applyBorder="1" applyAlignment="1" applyProtection="1">
      <alignment horizontal="right" wrapText="1"/>
      <protection locked="0"/>
    </xf>
    <xf numFmtId="168" fontId="3" fillId="36" borderId="15" xfId="0" applyNumberFormat="1" applyFont="1" applyFill="1" applyBorder="1" applyAlignment="1" applyProtection="1">
      <alignment horizontal="center" wrapText="1"/>
      <protection locked="0"/>
    </xf>
    <xf numFmtId="17" fontId="4" fillId="36" borderId="14" xfId="0" applyNumberFormat="1" applyFont="1" applyFill="1" applyBorder="1" applyAlignment="1" applyProtection="1">
      <alignment horizontal="left" vertical="center" wrapText="1"/>
      <protection/>
    </xf>
    <xf numFmtId="169" fontId="4" fillId="36" borderId="14" xfId="0" applyNumberFormat="1" applyFont="1" applyFill="1" applyBorder="1" applyAlignment="1" applyProtection="1">
      <alignment horizontal="right" vertical="center" wrapText="1"/>
      <protection/>
    </xf>
    <xf numFmtId="169" fontId="0" fillId="0" borderId="14" xfId="0" applyNumberFormat="1" applyFont="1" applyFill="1" applyBorder="1" applyAlignment="1" applyProtection="1">
      <alignment horizontal="right" vertical="center"/>
      <protection locked="0"/>
    </xf>
    <xf numFmtId="169" fontId="5" fillId="37" borderId="14" xfId="0" applyNumberFormat="1" applyFont="1" applyFill="1" applyBorder="1" applyAlignment="1" applyProtection="1">
      <alignment horizontal="right" vertical="center"/>
      <protection locked="0"/>
    </xf>
    <xf numFmtId="14" fontId="4" fillId="35" borderId="10" xfId="0" applyNumberFormat="1" applyFont="1" applyFill="1" applyBorder="1" applyAlignment="1" applyProtection="1">
      <alignment horizontal="left" vertical="center" wrapText="1"/>
      <protection/>
    </xf>
    <xf numFmtId="17" fontId="47" fillId="36" borderId="14" xfId="0" applyNumberFormat="1" applyFont="1" applyFill="1" applyBorder="1" applyAlignment="1" quotePrefix="1">
      <alignment horizontal="center" vertical="center" wrapText="1"/>
    </xf>
    <xf numFmtId="49" fontId="37" fillId="38" borderId="15" xfId="46" applyNumberFormat="1" applyFill="1" applyBorder="1" applyAlignment="1">
      <alignment wrapText="1"/>
    </xf>
    <xf numFmtId="14" fontId="9" fillId="36" borderId="14" xfId="0" applyNumberFormat="1" applyFont="1" applyFill="1" applyBorder="1" applyAlignment="1" applyProtection="1">
      <alignment horizontal="center" vertical="center" wrapText="1"/>
      <protection/>
    </xf>
    <xf numFmtId="0" fontId="6" fillId="38" borderId="14" xfId="0" applyNumberFormat="1" applyFont="1" applyFill="1" applyBorder="1" applyAlignment="1" applyProtection="1" quotePrefix="1">
      <alignment vertical="center" wrapText="1"/>
      <protection/>
    </xf>
    <xf numFmtId="0" fontId="2" fillId="41" borderId="0" xfId="0" applyNumberFormat="1" applyFont="1" applyFill="1" applyBorder="1" applyAlignment="1" applyProtection="1">
      <alignment horizontal="right" vertical="center"/>
      <protection/>
    </xf>
    <xf numFmtId="0" fontId="47" fillId="36" borderId="16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47" fillId="37" borderId="19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 wrapText="1"/>
    </xf>
    <xf numFmtId="0" fontId="47" fillId="37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2" fillId="36" borderId="16" xfId="0" applyNumberFormat="1" applyFont="1" applyFill="1" applyBorder="1" applyAlignment="1" applyProtection="1">
      <alignment horizontal="left" vertical="center" wrapText="1"/>
      <protection/>
    </xf>
    <xf numFmtId="0" fontId="2" fillId="36" borderId="17" xfId="0" applyNumberFormat="1" applyFont="1" applyFill="1" applyBorder="1" applyAlignment="1" applyProtection="1">
      <alignment horizontal="left" vertical="center" wrapText="1"/>
      <protection/>
    </xf>
    <xf numFmtId="0" fontId="2" fillId="36" borderId="18" xfId="0" applyNumberFormat="1" applyFont="1" applyFill="1" applyBorder="1" applyAlignment="1" applyProtection="1">
      <alignment horizontal="left" vertical="center" wrapText="1"/>
      <protection/>
    </xf>
    <xf numFmtId="0" fontId="4" fillId="37" borderId="0" xfId="0" applyNumberFormat="1" applyFont="1" applyFill="1" applyBorder="1" applyAlignment="1" applyProtection="1">
      <alignment horizontal="left" vertical="center" wrapText="1"/>
      <protection/>
    </xf>
    <xf numFmtId="0" fontId="3" fillId="37" borderId="16" xfId="0" applyNumberFormat="1" applyFont="1" applyFill="1" applyBorder="1" applyAlignment="1" applyProtection="1">
      <alignment vertical="center" wrapText="1"/>
      <protection/>
    </xf>
    <xf numFmtId="0" fontId="3" fillId="37" borderId="17" xfId="0" applyNumberFormat="1" applyFont="1" applyFill="1" applyBorder="1" applyAlignment="1" applyProtection="1">
      <alignment vertical="center" wrapText="1"/>
      <protection/>
    </xf>
    <xf numFmtId="0" fontId="3" fillId="37" borderId="18" xfId="0" applyNumberFormat="1" applyFont="1" applyFill="1" applyBorder="1" applyAlignment="1" applyProtection="1">
      <alignment vertical="center" wrapText="1"/>
      <protection/>
    </xf>
    <xf numFmtId="0" fontId="2" fillId="41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0</xdr:col>
      <xdr:colOff>1790700</xdr:colOff>
      <xdr:row>5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695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3</xdr:row>
      <xdr:rowOff>76200</xdr:rowOff>
    </xdr:to>
    <xdr:pic>
      <xdr:nvPicPr>
        <xdr:cNvPr id="1" name="1 Imagen" descr="LOGO CANAL LANZAROTE 6,04 x 2,37_300pp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647700</xdr:rowOff>
    </xdr:to>
    <xdr:pic>
      <xdr:nvPicPr>
        <xdr:cNvPr id="1" name="Picture 1" descr="hispanagua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SJERO013\GRP\Analisis\0_5%20INFORMACION_ASAMBLEA\Art.%20122.4%20EMPRESAS\2017\Trimestre%201\Canal%20Comunicaciones%20Unidas%20BALANCE%20S%20Y%20CTA%20R%201T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SJERO013\GRP\Analisis\0_5%20INFORMACION_ASAMBLEA\Art.%20122.4%20EMPRESAS\2017\Trimestre%201\Canal%20Extensia%20BALANCE%20S%20Y%20CTA%20R%201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INFORMES\INFORMES%202017\Anexo%20IE\3.-%20Marzo\PyG%20ACUMULADO%20Mar17_4abr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>
            <v>42795</v>
          </cell>
          <cell r="D3">
            <v>42705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>
            <v>42795</v>
          </cell>
          <cell r="D3">
            <v>42705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año anterior"/>
      <sheetName val="proyec gastos e ingresos"/>
      <sheetName val="Sheet1"/>
      <sheetName val="BS Memoria"/>
      <sheetName val="PL Memoria"/>
      <sheetName val="Estado de Ing y Gtos reconocido"/>
      <sheetName val="Estado Cambios Patrimonio Neto"/>
      <sheetName val="Flujos de Efectivo"/>
      <sheetName val="PL para EOAF"/>
      <sheetName val="BL (activo) para EOAF"/>
      <sheetName val="BL (pasivo) para EOAF"/>
    </sheetNames>
    <sheetDataSet>
      <sheetData sheetId="1">
        <row r="6">
          <cell r="G6">
            <v>9411793.67</v>
          </cell>
          <cell r="J6">
            <v>34186392.42000001</v>
          </cell>
        </row>
        <row r="24">
          <cell r="G24">
            <v>1649544.42</v>
          </cell>
          <cell r="J24">
            <v>7009664.78</v>
          </cell>
        </row>
        <row r="33">
          <cell r="G33">
            <v>13725300.01</v>
          </cell>
          <cell r="J33">
            <v>64286494.56</v>
          </cell>
        </row>
        <row r="37">
          <cell r="G37">
            <v>4582928.74</v>
          </cell>
          <cell r="J37">
            <v>17457003.69</v>
          </cell>
        </row>
        <row r="42">
          <cell r="G42">
            <v>2366121.2500000005</v>
          </cell>
          <cell r="J42">
            <v>7929351.879999999</v>
          </cell>
        </row>
        <row r="72">
          <cell r="G72">
            <v>11426.94</v>
          </cell>
          <cell r="J72">
            <v>1257920.01</v>
          </cell>
        </row>
        <row r="75">
          <cell r="G75">
            <v>33341.88</v>
          </cell>
          <cell r="J75">
            <v>148993.1</v>
          </cell>
        </row>
        <row r="84">
          <cell r="G84">
            <v>227700.85</v>
          </cell>
          <cell r="J84">
            <v>894084.73</v>
          </cell>
        </row>
        <row r="85">
          <cell r="G85">
            <v>495894.53</v>
          </cell>
          <cell r="J85">
            <v>1759383.66</v>
          </cell>
        </row>
        <row r="86">
          <cell r="G86">
            <v>5853.28</v>
          </cell>
          <cell r="J86">
            <v>14337.87</v>
          </cell>
        </row>
        <row r="89">
          <cell r="G89">
            <v>3708.39</v>
          </cell>
          <cell r="J89">
            <v>50284.09</v>
          </cell>
        </row>
        <row r="93">
          <cell r="G93">
            <v>0</v>
          </cell>
          <cell r="J93">
            <v>73.61</v>
          </cell>
        </row>
        <row r="95">
          <cell r="G95">
            <v>8799.58</v>
          </cell>
          <cell r="J95">
            <v>420105.74</v>
          </cell>
        </row>
        <row r="96">
          <cell r="G96">
            <v>0</v>
          </cell>
          <cell r="J96">
            <v>0</v>
          </cell>
        </row>
        <row r="97">
          <cell r="G97">
            <v>0</v>
          </cell>
          <cell r="J97">
            <v>137009.39</v>
          </cell>
        </row>
        <row r="105">
          <cell r="G105">
            <v>126148.9</v>
          </cell>
          <cell r="J105">
            <v>687839.6799999999</v>
          </cell>
        </row>
        <row r="116">
          <cell r="G116">
            <v>225452.57</v>
          </cell>
          <cell r="J116">
            <v>1060131.25</v>
          </cell>
        </row>
        <row r="129">
          <cell r="G129">
            <v>409.72</v>
          </cell>
          <cell r="J129">
            <v>5658.740000000001</v>
          </cell>
        </row>
        <row r="131">
          <cell r="G131">
            <v>0</v>
          </cell>
          <cell r="J131">
            <v>0</v>
          </cell>
        </row>
        <row r="134">
          <cell r="G134">
            <v>2428.9</v>
          </cell>
          <cell r="J134">
            <v>1160825.04</v>
          </cell>
        </row>
        <row r="137">
          <cell r="G137">
            <v>0</v>
          </cell>
          <cell r="J137">
            <v>524132.8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1.7109375" style="1" bestFit="1" customWidth="1"/>
  </cols>
  <sheetData>
    <row r="1" ht="15">
      <c r="A1" s="7" t="s">
        <v>8</v>
      </c>
    </row>
    <row r="2" ht="15">
      <c r="A2" s="8" t="s">
        <v>3</v>
      </c>
    </row>
    <row r="3" ht="15.75" thickBot="1">
      <c r="A3" s="9" t="s">
        <v>164</v>
      </c>
    </row>
    <row r="4" ht="15">
      <c r="A4" s="31" t="s">
        <v>0</v>
      </c>
    </row>
    <row r="5" ht="15">
      <c r="A5" s="31" t="s">
        <v>1</v>
      </c>
    </row>
    <row r="6" ht="15">
      <c r="A6" s="31" t="s">
        <v>107</v>
      </c>
    </row>
    <row r="7" ht="15">
      <c r="A7" s="31" t="s">
        <v>2</v>
      </c>
    </row>
    <row r="8" ht="15">
      <c r="A8" s="31" t="s">
        <v>108</v>
      </c>
    </row>
    <row r="9" ht="15">
      <c r="A9" s="31" t="s">
        <v>109</v>
      </c>
    </row>
    <row r="10" ht="15">
      <c r="A10" s="31" t="s">
        <v>110</v>
      </c>
    </row>
    <row r="11" ht="15">
      <c r="A11" s="31" t="s">
        <v>111</v>
      </c>
    </row>
    <row r="12" ht="15">
      <c r="A12" s="31" t="s">
        <v>112</v>
      </c>
    </row>
    <row r="13" ht="15">
      <c r="A13" s="31" t="s">
        <v>169</v>
      </c>
    </row>
    <row r="14" ht="15">
      <c r="A14" s="31" t="s">
        <v>113</v>
      </c>
    </row>
    <row r="15" ht="15">
      <c r="A15" s="31" t="s">
        <v>114</v>
      </c>
    </row>
    <row r="16" ht="15">
      <c r="A16" s="31" t="s">
        <v>115</v>
      </c>
    </row>
    <row r="17" ht="15">
      <c r="A17" s="31" t="s">
        <v>116</v>
      </c>
    </row>
    <row r="18" ht="15">
      <c r="A18" s="31" t="s">
        <v>117</v>
      </c>
    </row>
    <row r="19" ht="15">
      <c r="A19" s="31" t="s">
        <v>118</v>
      </c>
    </row>
    <row r="20" ht="15">
      <c r="A20" s="31" t="s">
        <v>119</v>
      </c>
    </row>
    <row r="21" ht="15">
      <c r="A21" s="31" t="s">
        <v>120</v>
      </c>
    </row>
    <row r="22" ht="15">
      <c r="A22" s="31" t="s">
        <v>121</v>
      </c>
    </row>
    <row r="23" ht="15">
      <c r="A23" s="31" t="s">
        <v>122</v>
      </c>
    </row>
    <row r="24" ht="15">
      <c r="A24" s="31" t="s">
        <v>123</v>
      </c>
    </row>
    <row r="25" ht="15">
      <c r="A25" s="31" t="s">
        <v>124</v>
      </c>
    </row>
    <row r="26" ht="15">
      <c r="A26" s="31" t="s">
        <v>125</v>
      </c>
    </row>
    <row r="27" ht="15">
      <c r="A27" s="31" t="s">
        <v>126</v>
      </c>
    </row>
    <row r="28" ht="15">
      <c r="A28" s="31" t="s">
        <v>127</v>
      </c>
    </row>
    <row r="29" ht="15">
      <c r="A29" s="31" t="s">
        <v>128</v>
      </c>
    </row>
    <row r="30" ht="15">
      <c r="A30" s="31" t="s">
        <v>129</v>
      </c>
    </row>
    <row r="31" ht="15">
      <c r="A31" s="31" t="s">
        <v>130</v>
      </c>
    </row>
    <row r="32" ht="15">
      <c r="A32" s="31" t="s">
        <v>131</v>
      </c>
    </row>
    <row r="33" ht="15">
      <c r="A33" s="31" t="s">
        <v>172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ARPROMA!A1" display="OBRAS DE MADRID, GESTIÓN DE OBRAS E INFRAESTRUCTURAS, S.A. (ARPROMA)."/>
    <hyperlink ref="A7" location="'Hosp. FUENLABRADA'!A1" display="EMPRESA PÚBLICA HOSPITAL UNIVERSITARIO DE FUENLABRADA."/>
    <hyperlink ref="A8" location="INVICAM!A1" display="INNOVACIÓN Y VIVIENDA DE LA COMUNIDAD DE MADRID, S.A. (INVICAM)."/>
    <hyperlink ref="A9" location="'MADRID ACTIVA'!A1" display="MADRID ACTIVA, S.A."/>
    <hyperlink ref="A10" location="'NUEVO ARPEGIO'!A1" display="NUEVO ARPEGIO, S.A."/>
    <hyperlink ref="A11" location="RTVM!A1" display="RADIO TELEVISIÓN MADRID (RTVM)."/>
    <hyperlink ref="A12" location="SIGMA!A1" display="SIGMA GESTIÓN UNIVERSITARIA, A.I.E."/>
    <hyperlink ref="A13" location="TURMADRID!A1" display="TURMADRID, S.A."/>
    <hyperlink ref="A14" location="UCR!A1" display="UNIDAD CENTRAL DE RADIODIAGNÓSTICO (UCR)."/>
    <hyperlink ref="A15" location="IECSUASV!A1" display="AGRUPACIÓN DE INTERÉS ECONÓMICO CENTRO SUPERIOR DE INVESTIGACIÓN DEL AUTOMÓVIL Y DE LA SEGURIDAD VIAL."/>
    <hyperlink ref="A16" location="ALCALINGUA!A1" display="ALCALINGUA – UNIVERSIDAD DE ALCALÁ, S.R.L."/>
    <hyperlink ref="A17" location="'CANAL Comunic.'!A1" display="CANAL DE COMUNICACIONES UNIDAS, S.A."/>
    <hyperlink ref="A18" location="CYII!A1" display="CANAL DE ISABEL II"/>
    <hyperlink ref="A19" location="'CYII Gestión'!A1" display="CANAL DE ISABEL II GESTIÓN S.A."/>
    <hyperlink ref="A20" location="'CANAL Energ. Comercial.'!A1" display="CANAL DE ENERGÍA COMERCIALIZACIÓN."/>
    <hyperlink ref="A21" location="'CANAL Energ. Distrib.'!A1" display="CANAL ENERGÍA DISTRIBUCIÓN, S.L."/>
    <hyperlink ref="A22" location="'CANAL Energ. Gener.'!A1" display="CANAL ENERGÍA GENERACIÓN, S.L."/>
    <hyperlink ref="A23" location="'CANAL Energía'!A1" display="CANAL ENERGÍA, S.L."/>
    <hyperlink ref="A24" location="'CANAL Extensia'!A1" display="CANAL EXTENSIA, S.A."/>
    <hyperlink ref="A25" location="'CANAL Gas Distrib.'!A1" display="CANAL GAS DISTRIBUCIÓN, S.L."/>
    <hyperlink ref="A26" location="'CANAL Gest. Lanzarote'!A1" display="CANAL GESTIÓN LANZAROTE, S.A.U."/>
    <hyperlink ref="A27" location="CTC!A1" display="CENTRO DE TRANSPORTES DE COSLADA, S.A."/>
    <hyperlink ref="A28" location="CRUSA!A1" display="CIUDAD RESIDENCIAL UNIVERSITARIA, S.A. (CRUSA)."/>
    <hyperlink ref="A29" location="GEDESMA!A1" display="GESTIÓN Y DESARROLLO DEL MEDIO AMBIENTE DE MADRID, S.A. (GEDESMA)."/>
    <hyperlink ref="A30" location="HIDRÁULICA!A1" display="HIDRÁULICA SANTILLANA, S.A."/>
    <hyperlink ref="A31" location="HISPANAGUA!A1" display="HISPANAGUA, S.A."/>
    <hyperlink ref="A32" location="METRO!A1" display="METRO DE MADRID, S.A."/>
    <hyperlink ref="A33" location="'PARTICIPACIONES CRM'!A1" display="PARTICIPACIONES CRM, S.A. en liquidación"/>
  </hyperlink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39.75" customHeight="1" thickBot="1">
      <c r="A1" s="61" t="s">
        <v>9</v>
      </c>
      <c r="B1" s="62"/>
      <c r="C1" s="62"/>
      <c r="D1" s="63"/>
    </row>
    <row r="2" spans="1:4" ht="19.5" customHeight="1" thickBot="1">
      <c r="A2" s="65" t="s">
        <v>4</v>
      </c>
      <c r="B2" s="66"/>
      <c r="C2" s="66"/>
      <c r="D2" s="67"/>
    </row>
    <row r="3" spans="1:4" ht="19.5" customHeight="1" thickBot="1">
      <c r="A3" s="65" t="s">
        <v>4</v>
      </c>
      <c r="B3" s="66"/>
      <c r="C3" s="66"/>
      <c r="D3" s="67"/>
    </row>
    <row r="4" spans="1:4" ht="19.5" customHeight="1" thickBot="1">
      <c r="A4" s="51" t="s">
        <v>5</v>
      </c>
      <c r="B4" s="51"/>
      <c r="C4" s="51"/>
      <c r="D4" s="51"/>
    </row>
    <row r="5" spans="1:4" ht="15.75" thickBot="1">
      <c r="A5" s="15"/>
      <c r="B5" s="15" t="s">
        <v>8</v>
      </c>
      <c r="C5" s="15" t="s">
        <v>6</v>
      </c>
      <c r="D5" s="15" t="s">
        <v>7</v>
      </c>
    </row>
    <row r="6" spans="1:4" ht="15.75" thickBot="1">
      <c r="A6" s="15"/>
      <c r="B6" s="15" t="s">
        <v>10</v>
      </c>
      <c r="C6" s="15"/>
      <c r="D6" s="15"/>
    </row>
    <row r="7" spans="1:4" ht="23.25" thickBot="1">
      <c r="A7" s="13" t="s">
        <v>11</v>
      </c>
      <c r="B7" s="13" t="s">
        <v>12</v>
      </c>
      <c r="C7" s="14">
        <v>3713</v>
      </c>
      <c r="D7" s="14">
        <v>4561</v>
      </c>
    </row>
    <row r="8" spans="1:4" ht="15.75" thickBot="1">
      <c r="A8" s="13" t="s">
        <v>13</v>
      </c>
      <c r="B8" s="13" t="s">
        <v>14</v>
      </c>
      <c r="C8" s="14"/>
      <c r="D8" s="14"/>
    </row>
    <row r="9" spans="1:4" ht="15.75" thickBot="1">
      <c r="A9" s="13" t="s">
        <v>15</v>
      </c>
      <c r="B9" s="13" t="s">
        <v>16</v>
      </c>
      <c r="C9" s="14">
        <v>401</v>
      </c>
      <c r="D9" s="14">
        <v>637</v>
      </c>
    </row>
    <row r="10" spans="1:4" ht="15.75" thickBot="1">
      <c r="A10" s="13" t="s">
        <v>17</v>
      </c>
      <c r="B10" s="13" t="s">
        <v>18</v>
      </c>
      <c r="C10" s="14">
        <f>C12+C13</f>
        <v>-63</v>
      </c>
      <c r="D10" s="14">
        <f>D12+D13</f>
        <v>-44</v>
      </c>
    </row>
    <row r="11" spans="1:4" ht="15.75" thickBot="1">
      <c r="A11" s="13" t="s">
        <v>19</v>
      </c>
      <c r="B11" s="13" t="s">
        <v>20</v>
      </c>
      <c r="C11" s="14"/>
      <c r="D11" s="14"/>
    </row>
    <row r="12" spans="1:4" ht="34.5" thickBot="1">
      <c r="A12" s="13" t="s">
        <v>21</v>
      </c>
      <c r="B12" s="13" t="s">
        <v>22</v>
      </c>
      <c r="C12" s="14">
        <v>-7</v>
      </c>
      <c r="D12" s="14">
        <v>-7</v>
      </c>
    </row>
    <row r="13" spans="1:4" ht="15.75" thickBot="1">
      <c r="A13" s="13" t="s">
        <v>23</v>
      </c>
      <c r="B13" s="13" t="s">
        <v>24</v>
      </c>
      <c r="C13" s="14">
        <v>-56</v>
      </c>
      <c r="D13" s="14">
        <v>-37</v>
      </c>
    </row>
    <row r="14" spans="1:4" ht="23.25" thickBot="1">
      <c r="A14" s="13" t="s">
        <v>25</v>
      </c>
      <c r="B14" s="13" t="s">
        <v>26</v>
      </c>
      <c r="C14" s="14"/>
      <c r="D14" s="14"/>
    </row>
    <row r="15" spans="1:4" ht="15.75" thickBot="1">
      <c r="A15" s="13" t="s">
        <v>17</v>
      </c>
      <c r="B15" s="13" t="s">
        <v>27</v>
      </c>
      <c r="C15" s="14">
        <v>0</v>
      </c>
      <c r="D15" s="14">
        <f>D16</f>
        <v>116</v>
      </c>
    </row>
    <row r="16" spans="1:4" ht="15.75" thickBot="1">
      <c r="A16" s="13" t="s">
        <v>28</v>
      </c>
      <c r="B16" s="13" t="s">
        <v>29</v>
      </c>
      <c r="C16" s="14">
        <v>0</v>
      </c>
      <c r="D16" s="14">
        <v>116</v>
      </c>
    </row>
    <row r="17" spans="1:4" ht="15.75" thickBot="1">
      <c r="A17" s="13" t="s">
        <v>30</v>
      </c>
      <c r="B17" s="13" t="s">
        <v>31</v>
      </c>
      <c r="C17" s="14"/>
      <c r="D17" s="14"/>
    </row>
    <row r="18" spans="1:4" ht="15.75" thickBot="1">
      <c r="A18" s="13" t="s">
        <v>17</v>
      </c>
      <c r="B18" s="13" t="s">
        <v>32</v>
      </c>
      <c r="C18" s="14">
        <f>C19+C20</f>
        <v>-2815</v>
      </c>
      <c r="D18" s="14">
        <f>D19+D20</f>
        <v>-3763</v>
      </c>
    </row>
    <row r="19" spans="1:4" ht="15.75" thickBot="1">
      <c r="A19" s="13" t="s">
        <v>33</v>
      </c>
      <c r="B19" s="13" t="s">
        <v>34</v>
      </c>
      <c r="C19" s="14">
        <v>-2151</v>
      </c>
      <c r="D19" s="14">
        <v>-2877</v>
      </c>
    </row>
    <row r="20" spans="1:4" ht="15.75" thickBot="1">
      <c r="A20" s="13" t="s">
        <v>35</v>
      </c>
      <c r="B20" s="13" t="s">
        <v>36</v>
      </c>
      <c r="C20" s="14">
        <v>-664</v>
      </c>
      <c r="D20" s="14">
        <v>-886</v>
      </c>
    </row>
    <row r="21" spans="1:4" ht="15.75" thickBot="1">
      <c r="A21" s="13" t="s">
        <v>37</v>
      </c>
      <c r="B21" s="13" t="s">
        <v>38</v>
      </c>
      <c r="C21" s="14"/>
      <c r="D21" s="14"/>
    </row>
    <row r="22" spans="1:4" ht="15.75" thickBot="1">
      <c r="A22" s="13" t="s">
        <v>17</v>
      </c>
      <c r="B22" s="13" t="s">
        <v>39</v>
      </c>
      <c r="C22" s="14">
        <f>+C23+C24</f>
        <v>-571</v>
      </c>
      <c r="D22" s="14">
        <f>D23+D24</f>
        <v>-798</v>
      </c>
    </row>
    <row r="23" spans="1:4" ht="34.5" thickBot="1">
      <c r="A23" s="13" t="s">
        <v>40</v>
      </c>
      <c r="B23" s="13" t="s">
        <v>41</v>
      </c>
      <c r="C23" s="14">
        <v>-571</v>
      </c>
      <c r="D23" s="14">
        <v>-796</v>
      </c>
    </row>
    <row r="24" spans="1:4" ht="15.75" thickBot="1">
      <c r="A24" s="13" t="s">
        <v>42</v>
      </c>
      <c r="B24" s="13" t="s">
        <v>43</v>
      </c>
      <c r="C24" s="14"/>
      <c r="D24" s="14">
        <v>-2</v>
      </c>
    </row>
    <row r="25" spans="1:4" ht="15.75" thickBot="1">
      <c r="A25" s="13" t="s">
        <v>44</v>
      </c>
      <c r="B25" s="13" t="s">
        <v>45</v>
      </c>
      <c r="C25" s="14"/>
      <c r="D25" s="14"/>
    </row>
    <row r="26" spans="1:4" ht="15.75" thickBot="1">
      <c r="A26" s="13" t="s">
        <v>46</v>
      </c>
      <c r="B26" s="13" t="s">
        <v>47</v>
      </c>
      <c r="C26" s="14"/>
      <c r="D26" s="14"/>
    </row>
    <row r="27" spans="1:4" ht="15.75" thickBot="1">
      <c r="A27" s="13" t="s">
        <v>17</v>
      </c>
      <c r="B27" s="13" t="s">
        <v>48</v>
      </c>
      <c r="C27" s="14">
        <f>C28+C29</f>
        <v>-472</v>
      </c>
      <c r="D27" s="14">
        <f>D28+D29</f>
        <v>-652</v>
      </c>
    </row>
    <row r="28" spans="1:4" ht="15.75" thickBot="1">
      <c r="A28" s="13" t="s">
        <v>49</v>
      </c>
      <c r="B28" s="13" t="s">
        <v>50</v>
      </c>
      <c r="C28" s="14">
        <v>-424</v>
      </c>
      <c r="D28" s="14">
        <v>-582</v>
      </c>
    </row>
    <row r="29" spans="1:4" ht="15.75" thickBot="1">
      <c r="A29" s="13" t="s">
        <v>51</v>
      </c>
      <c r="B29" s="13" t="s">
        <v>52</v>
      </c>
      <c r="C29" s="14">
        <v>-48</v>
      </c>
      <c r="D29" s="14">
        <v>-70</v>
      </c>
    </row>
    <row r="30" spans="1:4" ht="15.75" thickBot="1">
      <c r="A30" s="13" t="s">
        <v>53</v>
      </c>
      <c r="B30" s="13" t="s">
        <v>54</v>
      </c>
      <c r="C30" s="14"/>
      <c r="D30" s="14"/>
    </row>
    <row r="31" spans="1:4" ht="15.75" thickBot="1">
      <c r="A31" s="13" t="s">
        <v>17</v>
      </c>
      <c r="B31" s="13" t="s">
        <v>55</v>
      </c>
      <c r="C31" s="14"/>
      <c r="D31" s="14"/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17</v>
      </c>
      <c r="B33" s="13" t="s">
        <v>58</v>
      </c>
      <c r="C33" s="14"/>
      <c r="D33" s="14"/>
    </row>
    <row r="34" spans="1:4" ht="15.75" thickBot="1">
      <c r="A34" s="13" t="s">
        <v>17</v>
      </c>
      <c r="B34" s="13" t="s">
        <v>59</v>
      </c>
      <c r="C34" s="14"/>
      <c r="D34" s="14"/>
    </row>
    <row r="35" spans="1:4" ht="15.75" thickBot="1">
      <c r="A35" s="13" t="s">
        <v>60</v>
      </c>
      <c r="B35" s="13" t="s">
        <v>61</v>
      </c>
      <c r="C35" s="16" t="s">
        <v>4</v>
      </c>
      <c r="D35" s="14"/>
    </row>
    <row r="36" spans="1:4" ht="15.75" thickBot="1">
      <c r="A36" s="13" t="s">
        <v>62</v>
      </c>
      <c r="B36" s="13" t="s">
        <v>63</v>
      </c>
      <c r="C36" s="14"/>
      <c r="D36" s="14"/>
    </row>
    <row r="37" spans="1:4" ht="15.75" thickBot="1">
      <c r="A37" s="13" t="s">
        <v>64</v>
      </c>
      <c r="B37" s="13" t="s">
        <v>65</v>
      </c>
      <c r="C37" s="16" t="s">
        <v>4</v>
      </c>
      <c r="D37" s="14"/>
    </row>
    <row r="38" spans="1:4" ht="15.75" thickBot="1">
      <c r="A38" s="13" t="s">
        <v>17</v>
      </c>
      <c r="B38" s="13" t="s">
        <v>66</v>
      </c>
      <c r="C38" s="14"/>
      <c r="D38" s="14"/>
    </row>
    <row r="39" spans="1:4" ht="15.75" thickBot="1">
      <c r="A39" s="13" t="s">
        <v>67</v>
      </c>
      <c r="B39" s="13" t="s">
        <v>61</v>
      </c>
      <c r="C39" s="14"/>
      <c r="D39" s="14"/>
    </row>
    <row r="40" spans="1:4" ht="15.75" thickBot="1">
      <c r="A40" s="13" t="s">
        <v>68</v>
      </c>
      <c r="B40" s="13" t="s">
        <v>63</v>
      </c>
      <c r="C40" s="16" t="s">
        <v>4</v>
      </c>
      <c r="D40" s="14"/>
    </row>
    <row r="41" spans="1:4" ht="15.75" thickBot="1">
      <c r="A41" s="13" t="s">
        <v>69</v>
      </c>
      <c r="B41" s="13" t="s">
        <v>65</v>
      </c>
      <c r="C41" s="16" t="s">
        <v>4</v>
      </c>
      <c r="D41" s="14"/>
    </row>
    <row r="42" spans="1:4" ht="15.75" thickBot="1">
      <c r="A42" s="13" t="s">
        <v>70</v>
      </c>
      <c r="B42" s="13" t="s">
        <v>71</v>
      </c>
      <c r="C42" s="14"/>
      <c r="D42" s="14"/>
    </row>
    <row r="43" spans="1:4" ht="15.75" thickBot="1">
      <c r="A43" s="13" t="s">
        <v>70</v>
      </c>
      <c r="B43" s="13" t="s">
        <v>72</v>
      </c>
      <c r="C43" s="14">
        <f>C44+C45</f>
        <v>-3</v>
      </c>
      <c r="D43" s="14">
        <f>D44+D45</f>
        <v>-12</v>
      </c>
    </row>
    <row r="44" spans="1:4" ht="15.75" thickBot="1">
      <c r="A44" s="13" t="s">
        <v>73</v>
      </c>
      <c r="B44" s="13" t="s">
        <v>74</v>
      </c>
      <c r="C44" s="14">
        <v>-3</v>
      </c>
      <c r="D44" s="14">
        <v>-13</v>
      </c>
    </row>
    <row r="45" spans="1:4" ht="15.75" thickBot="1">
      <c r="A45" s="13" t="s">
        <v>75</v>
      </c>
      <c r="B45" s="13" t="s">
        <v>76</v>
      </c>
      <c r="C45" s="14"/>
      <c r="D45" s="14">
        <v>1</v>
      </c>
    </row>
    <row r="46" spans="1:4" ht="15.75" thickBot="1">
      <c r="A46" s="11" t="s">
        <v>17</v>
      </c>
      <c r="B46" s="11" t="s">
        <v>77</v>
      </c>
      <c r="C46" s="12">
        <f>C7+C9+C10+C15+C18+C22+C27+C43</f>
        <v>190</v>
      </c>
      <c r="D46" s="12">
        <f>D7+D9+D10+D15+D18+D22+D27+D43</f>
        <v>45</v>
      </c>
    </row>
    <row r="47" spans="1:4" ht="15.75" thickBot="1">
      <c r="A47" s="13" t="s">
        <v>17</v>
      </c>
      <c r="B47" s="13" t="s">
        <v>78</v>
      </c>
      <c r="C47" s="14">
        <f>C49</f>
        <v>1</v>
      </c>
      <c r="D47" s="14">
        <f>D49</f>
        <v>1</v>
      </c>
    </row>
    <row r="48" spans="1:4" ht="15.75" thickBot="1">
      <c r="A48" s="13" t="s">
        <v>79</v>
      </c>
      <c r="B48" s="13" t="s">
        <v>80</v>
      </c>
      <c r="C48" s="16" t="s">
        <v>4</v>
      </c>
      <c r="D48" s="16" t="s">
        <v>4</v>
      </c>
    </row>
    <row r="49" spans="1:4" ht="15.75" thickBot="1">
      <c r="A49" s="13" t="s">
        <v>81</v>
      </c>
      <c r="B49" s="13" t="s">
        <v>82</v>
      </c>
      <c r="C49" s="14">
        <v>1</v>
      </c>
      <c r="D49" s="14">
        <v>1</v>
      </c>
    </row>
    <row r="50" spans="1:4" ht="15.75" thickBot="1">
      <c r="A50" s="13" t="s">
        <v>17</v>
      </c>
      <c r="B50" s="13" t="s">
        <v>83</v>
      </c>
      <c r="C50" s="14">
        <f>C52</f>
        <v>-13</v>
      </c>
      <c r="D50" s="14">
        <f>D52</f>
        <v>-29</v>
      </c>
    </row>
    <row r="51" spans="1:4" ht="45.75" thickBot="1">
      <c r="A51" s="13" t="s">
        <v>84</v>
      </c>
      <c r="B51" s="13" t="s">
        <v>85</v>
      </c>
      <c r="C51" s="16" t="s">
        <v>4</v>
      </c>
      <c r="D51" s="14"/>
    </row>
    <row r="52" spans="1:4" ht="57" thickBot="1">
      <c r="A52" s="13" t="s">
        <v>86</v>
      </c>
      <c r="B52" s="13" t="s">
        <v>87</v>
      </c>
      <c r="C52" s="14">
        <v>-13</v>
      </c>
      <c r="D52" s="14">
        <v>-29</v>
      </c>
    </row>
    <row r="53" spans="1:4" ht="15.75" thickBot="1">
      <c r="A53" s="13" t="s">
        <v>88</v>
      </c>
      <c r="B53" s="13" t="s">
        <v>89</v>
      </c>
      <c r="C53" s="14"/>
      <c r="D53" s="14"/>
    </row>
    <row r="54" spans="1:4" ht="15.75" thickBot="1">
      <c r="A54" s="13" t="s">
        <v>90</v>
      </c>
      <c r="B54" s="13" t="s">
        <v>91</v>
      </c>
      <c r="C54" s="14"/>
      <c r="D54" s="14"/>
    </row>
    <row r="55" spans="1:4" ht="15.75" thickBot="1">
      <c r="A55" s="13" t="s">
        <v>92</v>
      </c>
      <c r="B55" s="13" t="s">
        <v>93</v>
      </c>
      <c r="C55" s="14"/>
      <c r="D55" s="14"/>
    </row>
    <row r="56" spans="1:4" ht="23.25" thickBot="1">
      <c r="A56" s="13" t="s">
        <v>94</v>
      </c>
      <c r="B56" s="13" t="s">
        <v>95</v>
      </c>
      <c r="C56" s="14"/>
      <c r="D56" s="14"/>
    </row>
    <row r="57" spans="1:4" ht="15.75" thickBot="1">
      <c r="A57" s="13" t="s">
        <v>17</v>
      </c>
      <c r="B57" s="13" t="s">
        <v>96</v>
      </c>
      <c r="C57" s="14"/>
      <c r="D57" s="14"/>
    </row>
    <row r="58" spans="1:4" ht="15.75" thickBot="1">
      <c r="A58" s="11" t="s">
        <v>17</v>
      </c>
      <c r="B58" s="11" t="s">
        <v>97</v>
      </c>
      <c r="C58" s="12">
        <f>C47+C50</f>
        <v>-12</v>
      </c>
      <c r="D58" s="12">
        <f>D47+D50</f>
        <v>-28</v>
      </c>
    </row>
    <row r="59" spans="1:4" ht="15.75" thickBot="1">
      <c r="A59" s="11" t="s">
        <v>17</v>
      </c>
      <c r="B59" s="11" t="s">
        <v>98</v>
      </c>
      <c r="C59" s="12">
        <f>C46+C58</f>
        <v>178</v>
      </c>
      <c r="D59" s="12">
        <f>D46+D58</f>
        <v>17</v>
      </c>
    </row>
    <row r="60" spans="1:4" ht="15.75" thickBot="1">
      <c r="A60" s="13" t="s">
        <v>99</v>
      </c>
      <c r="B60" s="13" t="s">
        <v>100</v>
      </c>
      <c r="C60" s="14"/>
      <c r="D60" s="14"/>
    </row>
    <row r="61" spans="1:4" ht="23.25" thickBot="1">
      <c r="A61" s="11" t="s">
        <v>17</v>
      </c>
      <c r="B61" s="11" t="s">
        <v>101</v>
      </c>
      <c r="C61" s="12">
        <f>C59</f>
        <v>178</v>
      </c>
      <c r="D61" s="12">
        <f>D59</f>
        <v>17</v>
      </c>
    </row>
    <row r="62" spans="1:4" ht="15.75" thickBot="1">
      <c r="A62" s="15"/>
      <c r="B62" s="15" t="s">
        <v>102</v>
      </c>
      <c r="C62" s="15"/>
      <c r="D62" s="15"/>
    </row>
    <row r="63" spans="1:4" ht="15.75" thickBot="1">
      <c r="A63" s="13" t="s">
        <v>17</v>
      </c>
      <c r="B63" s="13" t="s">
        <v>103</v>
      </c>
      <c r="C63" s="14"/>
      <c r="D63" s="14"/>
    </row>
    <row r="64" spans="1:4" ht="15.75" thickBot="1">
      <c r="A64" s="13" t="s">
        <v>17</v>
      </c>
      <c r="B64" s="13" t="s">
        <v>104</v>
      </c>
      <c r="C64" s="14">
        <f>C61</f>
        <v>178</v>
      </c>
      <c r="D64" s="14">
        <f>D61</f>
        <v>17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39.75" customHeight="1" thickBot="1">
      <c r="A1" s="61" t="s">
        <v>9</v>
      </c>
      <c r="B1" s="62"/>
      <c r="C1" s="62"/>
      <c r="D1" s="63"/>
    </row>
    <row r="2" spans="1:4" ht="19.5" customHeight="1" thickBot="1">
      <c r="A2" s="65" t="s">
        <v>4</v>
      </c>
      <c r="B2" s="66"/>
      <c r="C2" s="66"/>
      <c r="D2" s="67"/>
    </row>
    <row r="3" spans="1:4" ht="19.5" customHeight="1" thickBot="1">
      <c r="A3" s="65" t="s">
        <v>4</v>
      </c>
      <c r="B3" s="66"/>
      <c r="C3" s="66"/>
      <c r="D3" s="67"/>
    </row>
    <row r="4" spans="1:4" ht="19.5" customHeight="1" thickBot="1">
      <c r="A4" s="60" t="s">
        <v>5</v>
      </c>
      <c r="B4" s="60"/>
      <c r="C4" s="60"/>
      <c r="D4" s="60"/>
    </row>
    <row r="5" spans="1:4" ht="15.75" thickBot="1">
      <c r="A5" s="32" t="s">
        <v>4</v>
      </c>
      <c r="B5" s="32" t="s">
        <v>133</v>
      </c>
      <c r="C5" s="32" t="s">
        <v>6</v>
      </c>
      <c r="D5" s="32" t="s">
        <v>7</v>
      </c>
    </row>
    <row r="6" spans="1:4" ht="15">
      <c r="A6" s="33"/>
      <c r="B6" s="34" t="s">
        <v>10</v>
      </c>
      <c r="C6" s="35" t="s">
        <v>4</v>
      </c>
      <c r="D6" s="35" t="s">
        <v>4</v>
      </c>
    </row>
    <row r="7" spans="1:4" ht="24">
      <c r="A7" s="36" t="s">
        <v>11</v>
      </c>
      <c r="B7" s="36" t="s">
        <v>12</v>
      </c>
      <c r="C7" s="37">
        <v>0</v>
      </c>
      <c r="D7" s="37">
        <v>0</v>
      </c>
    </row>
    <row r="8" spans="1:4" ht="15">
      <c r="A8" s="36" t="s">
        <v>13</v>
      </c>
      <c r="B8" s="36" t="s">
        <v>14</v>
      </c>
      <c r="C8" s="37">
        <v>0</v>
      </c>
      <c r="D8" s="37">
        <v>0</v>
      </c>
    </row>
    <row r="9" spans="1:4" ht="15">
      <c r="A9" s="36" t="s">
        <v>15</v>
      </c>
      <c r="B9" s="36" t="s">
        <v>16</v>
      </c>
      <c r="C9" s="37">
        <v>0</v>
      </c>
      <c r="D9" s="37">
        <v>0</v>
      </c>
    </row>
    <row r="10" spans="1:4" ht="15">
      <c r="A10" s="36"/>
      <c r="B10" s="36" t="s">
        <v>18</v>
      </c>
      <c r="C10" s="38">
        <f>+C11+C12+C13+C14</f>
        <v>-587</v>
      </c>
      <c r="D10" s="38">
        <f>+D11+D12+D13+D14</f>
        <v>-3117</v>
      </c>
    </row>
    <row r="11" spans="1:4" ht="15">
      <c r="A11" s="36" t="s">
        <v>19</v>
      </c>
      <c r="B11" s="36" t="s">
        <v>134</v>
      </c>
      <c r="C11" s="37">
        <v>0</v>
      </c>
      <c r="D11" s="37">
        <v>0</v>
      </c>
    </row>
    <row r="12" spans="1:4" ht="35.25">
      <c r="A12" s="36" t="s">
        <v>21</v>
      </c>
      <c r="B12" s="36" t="s">
        <v>135</v>
      </c>
      <c r="C12" s="37">
        <v>0</v>
      </c>
      <c r="D12" s="37">
        <v>0</v>
      </c>
    </row>
    <row r="13" spans="1:4" ht="15">
      <c r="A13" s="36" t="s">
        <v>23</v>
      </c>
      <c r="B13" s="36" t="s">
        <v>136</v>
      </c>
      <c r="C13" s="37">
        <v>-587</v>
      </c>
      <c r="D13" s="37">
        <v>-3117</v>
      </c>
    </row>
    <row r="14" spans="1:4" ht="24">
      <c r="A14" s="36" t="s">
        <v>25</v>
      </c>
      <c r="B14" s="36" t="s">
        <v>137</v>
      </c>
      <c r="C14" s="37">
        <v>0</v>
      </c>
      <c r="D14" s="37">
        <v>0</v>
      </c>
    </row>
    <row r="15" spans="1:4" ht="15">
      <c r="A15" s="36"/>
      <c r="B15" s="36" t="s">
        <v>27</v>
      </c>
      <c r="C15" s="38">
        <f>+C16+C17</f>
        <v>5249</v>
      </c>
      <c r="D15" s="38">
        <f>+D16+D17</f>
        <v>6511</v>
      </c>
    </row>
    <row r="16" spans="1:4" ht="15">
      <c r="A16" s="36" t="s">
        <v>28</v>
      </c>
      <c r="B16" s="36" t="s">
        <v>138</v>
      </c>
      <c r="C16" s="37">
        <v>5249</v>
      </c>
      <c r="D16" s="37">
        <v>6511</v>
      </c>
    </row>
    <row r="17" spans="1:4" ht="15">
      <c r="A17" s="36" t="s">
        <v>30</v>
      </c>
      <c r="B17" s="48" t="s">
        <v>139</v>
      </c>
      <c r="C17" s="37">
        <v>0</v>
      </c>
      <c r="D17" s="37">
        <v>0</v>
      </c>
    </row>
    <row r="18" spans="1:4" ht="15">
      <c r="A18" s="36"/>
      <c r="B18" s="36" t="s">
        <v>32</v>
      </c>
      <c r="C18" s="38">
        <f>+C19+C20+C21</f>
        <v>0</v>
      </c>
      <c r="D18" s="38">
        <f>+D19+D20+D21</f>
        <v>0</v>
      </c>
    </row>
    <row r="19" spans="1:4" ht="15">
      <c r="A19" s="36" t="s">
        <v>33</v>
      </c>
      <c r="B19" s="36" t="s">
        <v>140</v>
      </c>
      <c r="C19" s="37">
        <v>0</v>
      </c>
      <c r="D19" s="37">
        <v>0</v>
      </c>
    </row>
    <row r="20" spans="1:4" ht="15">
      <c r="A20" s="36" t="s">
        <v>35</v>
      </c>
      <c r="B20" s="36" t="s">
        <v>141</v>
      </c>
      <c r="C20" s="37">
        <v>0</v>
      </c>
      <c r="D20" s="37">
        <v>0</v>
      </c>
    </row>
    <row r="21" spans="1:4" ht="15">
      <c r="A21" s="36" t="s">
        <v>37</v>
      </c>
      <c r="B21" s="36" t="s">
        <v>142</v>
      </c>
      <c r="C21" s="37">
        <v>0</v>
      </c>
      <c r="D21" s="37">
        <v>0</v>
      </c>
    </row>
    <row r="22" spans="1:4" ht="15">
      <c r="A22" s="36"/>
      <c r="B22" s="36" t="s">
        <v>39</v>
      </c>
      <c r="C22" s="38">
        <f>+C23+C24+C25+C26</f>
        <v>-4662</v>
      </c>
      <c r="D22" s="38">
        <f>+D23+D24+D25+D26</f>
        <v>-3455</v>
      </c>
    </row>
    <row r="23" spans="1:4" ht="35.25">
      <c r="A23" s="36" t="s">
        <v>40</v>
      </c>
      <c r="B23" s="36" t="s">
        <v>143</v>
      </c>
      <c r="C23" s="37">
        <v>-387</v>
      </c>
      <c r="D23" s="37">
        <v>-2156</v>
      </c>
    </row>
    <row r="24" spans="1:4" ht="15">
      <c r="A24" s="36" t="s">
        <v>42</v>
      </c>
      <c r="B24" s="36" t="s">
        <v>144</v>
      </c>
      <c r="C24" s="37">
        <v>-14</v>
      </c>
      <c r="D24" s="37">
        <v>-926</v>
      </c>
    </row>
    <row r="25" spans="1:4" ht="15">
      <c r="A25" s="36" t="s">
        <v>44</v>
      </c>
      <c r="B25" s="36" t="s">
        <v>145</v>
      </c>
      <c r="C25" s="37">
        <v>-4261</v>
      </c>
      <c r="D25" s="37">
        <v>-373</v>
      </c>
    </row>
    <row r="26" spans="1:4" ht="15">
      <c r="A26" s="36" t="s">
        <v>46</v>
      </c>
      <c r="B26" s="36" t="s">
        <v>146</v>
      </c>
      <c r="C26" s="37">
        <v>0</v>
      </c>
      <c r="D26" s="37">
        <v>0</v>
      </c>
    </row>
    <row r="27" spans="1:4" ht="15">
      <c r="A27" s="36"/>
      <c r="B27" s="36" t="s">
        <v>48</v>
      </c>
      <c r="C27" s="38">
        <f>+C28+C29+C30</f>
        <v>0</v>
      </c>
      <c r="D27" s="38">
        <f>+D28+D29+D30</f>
        <v>0</v>
      </c>
    </row>
    <row r="28" spans="1:4" ht="15">
      <c r="A28" s="36" t="s">
        <v>49</v>
      </c>
      <c r="B28" s="36" t="s">
        <v>147</v>
      </c>
      <c r="C28" s="37">
        <v>0</v>
      </c>
      <c r="D28" s="37">
        <v>0</v>
      </c>
    </row>
    <row r="29" spans="1:4" ht="15">
      <c r="A29" s="36" t="s">
        <v>51</v>
      </c>
      <c r="B29" s="36" t="s">
        <v>148</v>
      </c>
      <c r="C29" s="37">
        <v>0</v>
      </c>
      <c r="D29" s="37">
        <v>0</v>
      </c>
    </row>
    <row r="30" spans="1:4" ht="15">
      <c r="A30" s="36" t="s">
        <v>53</v>
      </c>
      <c r="B30" s="36" t="s">
        <v>149</v>
      </c>
      <c r="C30" s="37">
        <v>0</v>
      </c>
      <c r="D30" s="37">
        <v>0</v>
      </c>
    </row>
    <row r="31" spans="1:4" ht="15">
      <c r="A31" s="36"/>
      <c r="B31" s="36" t="s">
        <v>55</v>
      </c>
      <c r="C31" s="37">
        <v>0</v>
      </c>
      <c r="D31" s="37">
        <v>0</v>
      </c>
    </row>
    <row r="32" spans="1:4" ht="15">
      <c r="A32" s="36" t="s">
        <v>56</v>
      </c>
      <c r="B32" s="36" t="s">
        <v>57</v>
      </c>
      <c r="C32" s="37">
        <v>0</v>
      </c>
      <c r="D32" s="37">
        <v>0</v>
      </c>
    </row>
    <row r="33" spans="1:4" ht="15">
      <c r="A33" s="36"/>
      <c r="B33" s="36" t="s">
        <v>58</v>
      </c>
      <c r="C33" s="38">
        <f>+C34+C38</f>
        <v>0</v>
      </c>
      <c r="D33" s="38">
        <f>+D34+D38</f>
        <v>0</v>
      </c>
    </row>
    <row r="34" spans="1:4" ht="15">
      <c r="A34" s="36"/>
      <c r="B34" s="36" t="s">
        <v>150</v>
      </c>
      <c r="C34" s="38">
        <f>+C35+C36+C37</f>
        <v>0</v>
      </c>
      <c r="D34" s="38">
        <f>+D35+D36+D37</f>
        <v>0</v>
      </c>
    </row>
    <row r="35" spans="1:4" ht="15">
      <c r="A35" s="36" t="s">
        <v>60</v>
      </c>
      <c r="B35" s="36" t="s">
        <v>151</v>
      </c>
      <c r="C35" s="37">
        <v>0</v>
      </c>
      <c r="D35" s="37">
        <v>0</v>
      </c>
    </row>
    <row r="36" spans="1:4" ht="15">
      <c r="A36" s="36" t="s">
        <v>62</v>
      </c>
      <c r="B36" s="36" t="s">
        <v>152</v>
      </c>
      <c r="C36" s="37">
        <v>0</v>
      </c>
      <c r="D36" s="37">
        <v>0</v>
      </c>
    </row>
    <row r="37" spans="1:4" ht="15">
      <c r="A37" s="36" t="s">
        <v>64</v>
      </c>
      <c r="B37" s="36" t="s">
        <v>153</v>
      </c>
      <c r="C37" s="37">
        <v>0</v>
      </c>
      <c r="D37" s="37">
        <v>0</v>
      </c>
    </row>
    <row r="38" spans="1:4" ht="15">
      <c r="A38" s="36"/>
      <c r="B38" s="36" t="s">
        <v>154</v>
      </c>
      <c r="C38" s="38">
        <f>+C39+C40+C41</f>
        <v>0</v>
      </c>
      <c r="D38" s="38">
        <f>+D39+D40+D41</f>
        <v>0</v>
      </c>
    </row>
    <row r="39" spans="1:4" ht="15">
      <c r="A39" s="36" t="s">
        <v>67</v>
      </c>
      <c r="B39" s="36" t="s">
        <v>151</v>
      </c>
      <c r="C39" s="37">
        <v>0</v>
      </c>
      <c r="D39" s="37">
        <v>0</v>
      </c>
    </row>
    <row r="40" spans="1:4" ht="15">
      <c r="A40" s="36" t="s">
        <v>68</v>
      </c>
      <c r="B40" s="36" t="s">
        <v>152</v>
      </c>
      <c r="C40" s="37">
        <v>0</v>
      </c>
      <c r="D40" s="37">
        <v>0</v>
      </c>
    </row>
    <row r="41" spans="1:4" ht="15">
      <c r="A41" s="36" t="s">
        <v>69</v>
      </c>
      <c r="B41" s="36" t="s">
        <v>153</v>
      </c>
      <c r="C41" s="37">
        <v>0</v>
      </c>
      <c r="D41" s="37">
        <v>0</v>
      </c>
    </row>
    <row r="42" spans="1:4" ht="15">
      <c r="A42" s="36" t="s">
        <v>155</v>
      </c>
      <c r="B42" s="36" t="s">
        <v>71</v>
      </c>
      <c r="C42" s="37">
        <v>0</v>
      </c>
      <c r="D42" s="37">
        <v>0</v>
      </c>
    </row>
    <row r="43" spans="1:4" ht="15">
      <c r="A43" s="36" t="s">
        <v>155</v>
      </c>
      <c r="B43" s="36" t="s">
        <v>72</v>
      </c>
      <c r="C43" s="38">
        <f>+C44+C45</f>
        <v>0</v>
      </c>
      <c r="D43" s="38">
        <f>+D44+D45</f>
        <v>-8</v>
      </c>
    </row>
    <row r="44" spans="1:4" ht="15">
      <c r="A44" s="36" t="s">
        <v>73</v>
      </c>
      <c r="B44" s="36" t="s">
        <v>156</v>
      </c>
      <c r="C44" s="37">
        <v>0</v>
      </c>
      <c r="D44" s="37">
        <v>-8</v>
      </c>
    </row>
    <row r="45" spans="1:4" ht="15">
      <c r="A45" s="36" t="s">
        <v>75</v>
      </c>
      <c r="B45" s="36" t="s">
        <v>157</v>
      </c>
      <c r="C45" s="37">
        <v>0</v>
      </c>
      <c r="D45" s="37">
        <v>0</v>
      </c>
    </row>
    <row r="46" spans="1:4" ht="15">
      <c r="A46" s="39"/>
      <c r="B46" s="39" t="s">
        <v>77</v>
      </c>
      <c r="C46" s="40">
        <f>+C7+C8+C9+C10+C15+C18+C22+C27+C31+C32+C33+C42+C43</f>
        <v>0</v>
      </c>
      <c r="D46" s="40">
        <f>+D7+D8+D9+D10+D15+D18+D22+D27+D31+D32+D33+D42+D43</f>
        <v>-69</v>
      </c>
    </row>
    <row r="47" spans="1:4" ht="15">
      <c r="A47" s="36"/>
      <c r="B47" s="36" t="s">
        <v>78</v>
      </c>
      <c r="C47" s="38">
        <f>+C48+C49</f>
        <v>0</v>
      </c>
      <c r="D47" s="38">
        <f>+D48+D49</f>
        <v>0</v>
      </c>
    </row>
    <row r="48" spans="1:4" ht="15">
      <c r="A48" s="36" t="s">
        <v>79</v>
      </c>
      <c r="B48" s="36" t="s">
        <v>158</v>
      </c>
      <c r="C48" s="37">
        <v>0</v>
      </c>
      <c r="D48" s="37">
        <v>0</v>
      </c>
    </row>
    <row r="49" spans="1:4" ht="15">
      <c r="A49" s="36" t="s">
        <v>81</v>
      </c>
      <c r="B49" s="36" t="s">
        <v>159</v>
      </c>
      <c r="C49" s="37">
        <v>0</v>
      </c>
      <c r="D49" s="37">
        <v>0</v>
      </c>
    </row>
    <row r="50" spans="1:4" ht="15">
      <c r="A50" s="36"/>
      <c r="B50" s="36" t="s">
        <v>83</v>
      </c>
      <c r="C50" s="38">
        <f>+C51+C52+C53</f>
        <v>0</v>
      </c>
      <c r="D50" s="38">
        <f>+D51+D52+D53</f>
        <v>0</v>
      </c>
    </row>
    <row r="51" spans="1:4" ht="46.5">
      <c r="A51" s="36" t="s">
        <v>84</v>
      </c>
      <c r="B51" s="36" t="s">
        <v>160</v>
      </c>
      <c r="C51" s="37">
        <v>0</v>
      </c>
      <c r="D51" s="37">
        <v>0</v>
      </c>
    </row>
    <row r="52" spans="1:4" ht="57.75">
      <c r="A52" s="36" t="s">
        <v>86</v>
      </c>
      <c r="B52" s="36" t="s">
        <v>161</v>
      </c>
      <c r="C52" s="37">
        <v>0</v>
      </c>
      <c r="D52" s="37">
        <v>0</v>
      </c>
    </row>
    <row r="53" spans="1:4" ht="15">
      <c r="A53" s="36" t="s">
        <v>88</v>
      </c>
      <c r="B53" s="36" t="s">
        <v>162</v>
      </c>
      <c r="C53" s="37">
        <v>0</v>
      </c>
      <c r="D53" s="37">
        <v>0</v>
      </c>
    </row>
    <row r="54" spans="1:4" ht="15">
      <c r="A54" s="36" t="s">
        <v>90</v>
      </c>
      <c r="B54" s="36" t="s">
        <v>91</v>
      </c>
      <c r="C54" s="37">
        <v>0</v>
      </c>
      <c r="D54" s="37">
        <v>0</v>
      </c>
    </row>
    <row r="55" spans="1:4" ht="15">
      <c r="A55" s="36" t="s">
        <v>92</v>
      </c>
      <c r="B55" s="36" t="s">
        <v>93</v>
      </c>
      <c r="C55" s="37">
        <v>0</v>
      </c>
      <c r="D55" s="37">
        <v>0</v>
      </c>
    </row>
    <row r="56" spans="1:4" ht="24">
      <c r="A56" s="36" t="s">
        <v>94</v>
      </c>
      <c r="B56" s="36" t="s">
        <v>95</v>
      </c>
      <c r="C56" s="37">
        <v>0</v>
      </c>
      <c r="D56" s="37">
        <v>0</v>
      </c>
    </row>
    <row r="57" spans="1:4" ht="15">
      <c r="A57" s="36"/>
      <c r="B57" s="36" t="s">
        <v>96</v>
      </c>
      <c r="C57" s="37">
        <v>0</v>
      </c>
      <c r="D57" s="37">
        <v>0</v>
      </c>
    </row>
    <row r="58" spans="1:4" ht="15">
      <c r="A58" s="39"/>
      <c r="B58" s="39" t="s">
        <v>97</v>
      </c>
      <c r="C58" s="40">
        <f>+C47+C50+C54+C55+C56+C57</f>
        <v>0</v>
      </c>
      <c r="D58" s="40">
        <f>+D47+D50+D54+D55+D56+D57</f>
        <v>0</v>
      </c>
    </row>
    <row r="59" spans="1:4" ht="15">
      <c r="A59" s="39"/>
      <c r="B59" s="39" t="s">
        <v>98</v>
      </c>
      <c r="C59" s="40">
        <f>+C46+C58</f>
        <v>0</v>
      </c>
      <c r="D59" s="40">
        <f>+D46+D58</f>
        <v>-69</v>
      </c>
    </row>
    <row r="60" spans="1:4" ht="15">
      <c r="A60" s="36" t="s">
        <v>99</v>
      </c>
      <c r="B60" s="36" t="s">
        <v>100</v>
      </c>
      <c r="C60" s="37">
        <v>0</v>
      </c>
      <c r="D60" s="37">
        <v>0</v>
      </c>
    </row>
    <row r="61" spans="1:4" ht="24">
      <c r="A61" s="39"/>
      <c r="B61" s="39" t="s">
        <v>101</v>
      </c>
      <c r="C61" s="40">
        <f>+C59+C60</f>
        <v>0</v>
      </c>
      <c r="D61" s="40">
        <f>+D59+D60</f>
        <v>-69</v>
      </c>
    </row>
    <row r="62" spans="1:4" ht="15">
      <c r="A62" s="33"/>
      <c r="B62" s="34" t="s">
        <v>102</v>
      </c>
      <c r="C62" s="35" t="s">
        <v>4</v>
      </c>
      <c r="D62" s="35" t="s">
        <v>4</v>
      </c>
    </row>
    <row r="63" spans="1:4" ht="15">
      <c r="A63" s="36"/>
      <c r="B63" s="36" t="s">
        <v>103</v>
      </c>
      <c r="C63" s="37">
        <v>0</v>
      </c>
      <c r="D63" s="37">
        <v>0</v>
      </c>
    </row>
    <row r="64" spans="1:4" ht="15">
      <c r="A64" s="36"/>
      <c r="B64" s="36" t="s">
        <v>104</v>
      </c>
      <c r="C64" s="40">
        <f>+C61+C63</f>
        <v>0</v>
      </c>
      <c r="D64" s="40">
        <f>+D61+D63</f>
        <v>-69</v>
      </c>
    </row>
  </sheetData>
  <sheetProtection/>
  <mergeCells count="4">
    <mergeCell ref="A1:D1"/>
    <mergeCell ref="A2:D2"/>
    <mergeCell ref="A3:D3"/>
    <mergeCell ref="A4:D4"/>
  </mergeCells>
  <hyperlinks>
    <hyperlink ref="B17" location="'MADRID CULTURA Y TURISMO'!A1" display="b) Subvenciones de explotación incorporadas al resultado del ejercicio."/>
  </hyperlink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52">
      <selection activeCell="A4" sqref="A4:D64"/>
    </sheetView>
  </sheetViews>
  <sheetFormatPr defaultColWidth="11.421875" defaultRowHeight="15"/>
  <cols>
    <col min="1" max="1" width="47.57421875" style="0" bestFit="1" customWidth="1"/>
    <col min="2" max="2" width="66.7109375" style="0" bestFit="1" customWidth="1"/>
    <col min="3" max="4" width="19.00390625" style="0" bestFit="1" customWidth="1"/>
  </cols>
  <sheetData>
    <row r="1" spans="1:4" ht="39.75" customHeight="1" thickBot="1">
      <c r="A1" s="61" t="s">
        <v>105</v>
      </c>
      <c r="B1" s="62"/>
      <c r="C1" s="62"/>
      <c r="D1" s="63"/>
    </row>
    <row r="2" spans="1:4" ht="19.5" customHeight="1">
      <c r="A2" s="64" t="s">
        <v>4</v>
      </c>
      <c r="B2" s="64"/>
      <c r="C2" s="64"/>
      <c r="D2" s="64"/>
    </row>
    <row r="3" spans="1:4" ht="19.5" customHeight="1">
      <c r="A3" s="64" t="s">
        <v>4</v>
      </c>
      <c r="B3" s="64"/>
      <c r="C3" s="64"/>
      <c r="D3" s="64"/>
    </row>
    <row r="4" spans="1:4" ht="19.5" customHeight="1" thickBot="1">
      <c r="A4" s="60" t="s">
        <v>5</v>
      </c>
      <c r="B4" s="60"/>
      <c r="C4" s="60"/>
      <c r="D4" s="60"/>
    </row>
    <row r="5" spans="1:4" ht="15.75" thickBot="1">
      <c r="A5" s="32" t="s">
        <v>4</v>
      </c>
      <c r="B5" s="32" t="s">
        <v>133</v>
      </c>
      <c r="C5" s="32" t="s">
        <v>6</v>
      </c>
      <c r="D5" s="32" t="s">
        <v>7</v>
      </c>
    </row>
    <row r="6" spans="1:4" ht="15">
      <c r="A6" s="33"/>
      <c r="B6" s="34" t="s">
        <v>10</v>
      </c>
      <c r="C6" s="35" t="s">
        <v>4</v>
      </c>
      <c r="D6" s="35" t="s">
        <v>4</v>
      </c>
    </row>
    <row r="7" spans="1:4" ht="15">
      <c r="A7" s="36" t="s">
        <v>11</v>
      </c>
      <c r="B7" s="36" t="s">
        <v>12</v>
      </c>
      <c r="C7" s="37">
        <v>4533</v>
      </c>
      <c r="D7" s="37">
        <v>18131</v>
      </c>
    </row>
    <row r="8" spans="1:4" ht="24">
      <c r="A8" s="36" t="s">
        <v>13</v>
      </c>
      <c r="B8" s="36" t="s">
        <v>14</v>
      </c>
      <c r="C8" s="37">
        <v>0</v>
      </c>
      <c r="D8" s="37">
        <v>0</v>
      </c>
    </row>
    <row r="9" spans="1:4" ht="15">
      <c r="A9" s="36" t="s">
        <v>15</v>
      </c>
      <c r="B9" s="36" t="s">
        <v>16</v>
      </c>
      <c r="C9" s="37">
        <v>0</v>
      </c>
      <c r="D9" s="37">
        <v>0</v>
      </c>
    </row>
    <row r="10" spans="1:4" ht="15">
      <c r="A10" s="36"/>
      <c r="B10" s="36" t="s">
        <v>18</v>
      </c>
      <c r="C10" s="38">
        <f>+C11+C12+C13+C14</f>
        <v>-375</v>
      </c>
      <c r="D10" s="38">
        <f>+D11+D12+D13+D14</f>
        <v>-2527</v>
      </c>
    </row>
    <row r="11" spans="1:4" ht="15">
      <c r="A11" s="36" t="s">
        <v>19</v>
      </c>
      <c r="B11" s="36" t="s">
        <v>134</v>
      </c>
      <c r="C11" s="37">
        <v>-130</v>
      </c>
      <c r="D11" s="37">
        <v>-837</v>
      </c>
    </row>
    <row r="12" spans="1:4" ht="24">
      <c r="A12" s="36" t="s">
        <v>21</v>
      </c>
      <c r="B12" s="36" t="s">
        <v>135</v>
      </c>
      <c r="C12" s="37">
        <v>-245</v>
      </c>
      <c r="D12" s="37">
        <v>-921</v>
      </c>
    </row>
    <row r="13" spans="1:4" ht="15">
      <c r="A13" s="36" t="s">
        <v>23</v>
      </c>
      <c r="B13" s="36" t="s">
        <v>136</v>
      </c>
      <c r="C13" s="37">
        <v>0</v>
      </c>
      <c r="D13" s="37">
        <v>-769</v>
      </c>
    </row>
    <row r="14" spans="1:4" ht="24">
      <c r="A14" s="36" t="s">
        <v>25</v>
      </c>
      <c r="B14" s="36" t="s">
        <v>137</v>
      </c>
      <c r="C14" s="37">
        <v>0</v>
      </c>
      <c r="D14" s="37">
        <v>0</v>
      </c>
    </row>
    <row r="15" spans="1:4" ht="15">
      <c r="A15" s="36"/>
      <c r="B15" s="36" t="s">
        <v>27</v>
      </c>
      <c r="C15" s="38">
        <f>+C16+C17</f>
        <v>0</v>
      </c>
      <c r="D15" s="38">
        <f>+D16+D17</f>
        <v>95</v>
      </c>
    </row>
    <row r="16" spans="1:4" ht="15">
      <c r="A16" s="36" t="s">
        <v>28</v>
      </c>
      <c r="B16" s="36" t="s">
        <v>138</v>
      </c>
      <c r="C16" s="37">
        <v>0</v>
      </c>
      <c r="D16" s="37">
        <v>95</v>
      </c>
    </row>
    <row r="17" spans="1:4" ht="15">
      <c r="A17" s="36" t="s">
        <v>30</v>
      </c>
      <c r="B17" s="36" t="s">
        <v>139</v>
      </c>
      <c r="C17" s="37">
        <v>0</v>
      </c>
      <c r="D17" s="37">
        <v>0</v>
      </c>
    </row>
    <row r="18" spans="1:4" ht="15">
      <c r="A18" s="36"/>
      <c r="B18" s="36" t="s">
        <v>32</v>
      </c>
      <c r="C18" s="38">
        <f>+C19+C20+C21</f>
        <v>-3113</v>
      </c>
      <c r="D18" s="38">
        <f>+D19+D20+D21</f>
        <v>-12708</v>
      </c>
    </row>
    <row r="19" spans="1:4" ht="15">
      <c r="A19" s="36" t="s">
        <v>33</v>
      </c>
      <c r="B19" s="36" t="s">
        <v>140</v>
      </c>
      <c r="C19" s="37">
        <v>-2450</v>
      </c>
      <c r="D19" s="37">
        <v>-9994</v>
      </c>
    </row>
    <row r="20" spans="1:4" ht="15">
      <c r="A20" s="36" t="s">
        <v>35</v>
      </c>
      <c r="B20" s="36" t="s">
        <v>141</v>
      </c>
      <c r="C20" s="37">
        <v>-663</v>
      </c>
      <c r="D20" s="37">
        <v>-2714</v>
      </c>
    </row>
    <row r="21" spans="1:4" ht="15">
      <c r="A21" s="36" t="s">
        <v>37</v>
      </c>
      <c r="B21" s="36" t="s">
        <v>142</v>
      </c>
      <c r="C21" s="37">
        <v>0</v>
      </c>
      <c r="D21" s="37">
        <v>0</v>
      </c>
    </row>
    <row r="22" spans="1:4" ht="15">
      <c r="A22" s="36"/>
      <c r="B22" s="36" t="s">
        <v>39</v>
      </c>
      <c r="C22" s="38">
        <f>+C23+C24+C25+C26</f>
        <v>-58</v>
      </c>
      <c r="D22" s="38">
        <f>+D23+D24+D25+D26</f>
        <v>-2012</v>
      </c>
    </row>
    <row r="23" spans="1:4" ht="24">
      <c r="A23" s="36" t="s">
        <v>40</v>
      </c>
      <c r="B23" s="36" t="s">
        <v>143</v>
      </c>
      <c r="C23" s="37">
        <v>-57</v>
      </c>
      <c r="D23" s="37">
        <v>-2011</v>
      </c>
    </row>
    <row r="24" spans="1:4" ht="15">
      <c r="A24" s="36" t="s">
        <v>42</v>
      </c>
      <c r="B24" s="36" t="s">
        <v>144</v>
      </c>
      <c r="C24" s="37">
        <v>-1</v>
      </c>
      <c r="D24" s="37">
        <v>-1</v>
      </c>
    </row>
    <row r="25" spans="1:4" ht="24">
      <c r="A25" s="36" t="s">
        <v>44</v>
      </c>
      <c r="B25" s="36" t="s">
        <v>145</v>
      </c>
      <c r="C25" s="37">
        <v>0</v>
      </c>
      <c r="D25" s="37">
        <v>0</v>
      </c>
    </row>
    <row r="26" spans="1:4" ht="15">
      <c r="A26" s="36" t="s">
        <v>46</v>
      </c>
      <c r="B26" s="36" t="s">
        <v>146</v>
      </c>
      <c r="C26" s="37">
        <v>0</v>
      </c>
      <c r="D26" s="37">
        <v>0</v>
      </c>
    </row>
    <row r="27" spans="1:4" ht="15">
      <c r="A27" s="36"/>
      <c r="B27" s="36" t="s">
        <v>48</v>
      </c>
      <c r="C27" s="38">
        <f>+C28+C29+C30</f>
        <v>-97</v>
      </c>
      <c r="D27" s="38">
        <f>+D28+D29+D30</f>
        <v>-264</v>
      </c>
    </row>
    <row r="28" spans="1:4" ht="15">
      <c r="A28" s="36" t="s">
        <v>49</v>
      </c>
      <c r="B28" s="36" t="s">
        <v>147</v>
      </c>
      <c r="C28" s="37">
        <v>-16</v>
      </c>
      <c r="D28" s="37">
        <v>-53</v>
      </c>
    </row>
    <row r="29" spans="1:4" ht="15">
      <c r="A29" s="36" t="s">
        <v>51</v>
      </c>
      <c r="B29" s="36" t="s">
        <v>148</v>
      </c>
      <c r="C29" s="37">
        <v>-81</v>
      </c>
      <c r="D29" s="37">
        <v>-211</v>
      </c>
    </row>
    <row r="30" spans="1:4" ht="15">
      <c r="A30" s="36" t="s">
        <v>53</v>
      </c>
      <c r="B30" s="36" t="s">
        <v>149</v>
      </c>
      <c r="C30" s="37">
        <v>0</v>
      </c>
      <c r="D30" s="37">
        <v>0</v>
      </c>
    </row>
    <row r="31" spans="1:4" ht="15">
      <c r="A31" s="36"/>
      <c r="B31" s="36" t="s">
        <v>55</v>
      </c>
      <c r="C31" s="37">
        <v>0</v>
      </c>
      <c r="D31" s="37">
        <v>0</v>
      </c>
    </row>
    <row r="32" spans="1:4" ht="15">
      <c r="A32" s="36" t="s">
        <v>56</v>
      </c>
      <c r="B32" s="36" t="s">
        <v>57</v>
      </c>
      <c r="C32" s="37">
        <v>0</v>
      </c>
      <c r="D32" s="37">
        <v>0</v>
      </c>
    </row>
    <row r="33" spans="1:4" ht="15">
      <c r="A33" s="36"/>
      <c r="B33" s="36" t="s">
        <v>58</v>
      </c>
      <c r="C33" s="38">
        <f>+C34+C38</f>
        <v>0</v>
      </c>
      <c r="D33" s="38">
        <f>+D34+D38</f>
        <v>0</v>
      </c>
    </row>
    <row r="34" spans="1:4" ht="15">
      <c r="A34" s="36"/>
      <c r="B34" s="36" t="s">
        <v>150</v>
      </c>
      <c r="C34" s="38">
        <f>+C35+C36+C37</f>
        <v>0</v>
      </c>
      <c r="D34" s="38">
        <f>+D35+D36+D37</f>
        <v>0</v>
      </c>
    </row>
    <row r="35" spans="1:4" ht="15">
      <c r="A35" s="36" t="s">
        <v>60</v>
      </c>
      <c r="B35" s="36" t="s">
        <v>151</v>
      </c>
      <c r="C35" s="37">
        <v>0</v>
      </c>
      <c r="D35" s="37">
        <v>0</v>
      </c>
    </row>
    <row r="36" spans="1:4" ht="15">
      <c r="A36" s="36" t="s">
        <v>62</v>
      </c>
      <c r="B36" s="36" t="s">
        <v>152</v>
      </c>
      <c r="C36" s="37">
        <v>0</v>
      </c>
      <c r="D36" s="37">
        <v>0</v>
      </c>
    </row>
    <row r="37" spans="1:4" ht="15">
      <c r="A37" s="36" t="s">
        <v>64</v>
      </c>
      <c r="B37" s="36" t="s">
        <v>153</v>
      </c>
      <c r="C37" s="37">
        <v>0</v>
      </c>
      <c r="D37" s="37">
        <v>0</v>
      </c>
    </row>
    <row r="38" spans="1:4" ht="15">
      <c r="A38" s="36"/>
      <c r="B38" s="36" t="s">
        <v>154</v>
      </c>
      <c r="C38" s="38">
        <f>+C39+C40+C41</f>
        <v>0</v>
      </c>
      <c r="D38" s="38">
        <f>+D39+D40+D41</f>
        <v>0</v>
      </c>
    </row>
    <row r="39" spans="1:4" ht="15">
      <c r="A39" s="36" t="s">
        <v>67</v>
      </c>
      <c r="B39" s="36" t="s">
        <v>151</v>
      </c>
      <c r="C39" s="37">
        <v>0</v>
      </c>
      <c r="D39" s="37">
        <v>0</v>
      </c>
    </row>
    <row r="40" spans="1:4" ht="15">
      <c r="A40" s="36" t="s">
        <v>68</v>
      </c>
      <c r="B40" s="36" t="s">
        <v>152</v>
      </c>
      <c r="C40" s="37">
        <v>0</v>
      </c>
      <c r="D40" s="37">
        <v>0</v>
      </c>
    </row>
    <row r="41" spans="1:4" ht="15">
      <c r="A41" s="36" t="s">
        <v>69</v>
      </c>
      <c r="B41" s="36" t="s">
        <v>153</v>
      </c>
      <c r="C41" s="37">
        <v>0</v>
      </c>
      <c r="D41" s="37">
        <v>0</v>
      </c>
    </row>
    <row r="42" spans="1:4" ht="15">
      <c r="A42" s="36" t="s">
        <v>155</v>
      </c>
      <c r="B42" s="36" t="s">
        <v>71</v>
      </c>
      <c r="C42" s="37">
        <v>0</v>
      </c>
      <c r="D42" s="37">
        <v>-1</v>
      </c>
    </row>
    <row r="43" spans="1:4" ht="15">
      <c r="A43" s="36" t="s">
        <v>155</v>
      </c>
      <c r="B43" s="36" t="s">
        <v>72</v>
      </c>
      <c r="C43" s="38">
        <f>+C44+C45</f>
        <v>0</v>
      </c>
      <c r="D43" s="38">
        <f>+D44+D45</f>
        <v>-1</v>
      </c>
    </row>
    <row r="44" spans="1:4" ht="15">
      <c r="A44" s="36" t="s">
        <v>73</v>
      </c>
      <c r="B44" s="36" t="s">
        <v>156</v>
      </c>
      <c r="C44" s="37">
        <v>0</v>
      </c>
      <c r="D44" s="37">
        <v>-2</v>
      </c>
    </row>
    <row r="45" spans="1:4" ht="15">
      <c r="A45" s="36" t="s">
        <v>75</v>
      </c>
      <c r="B45" s="36" t="s">
        <v>157</v>
      </c>
      <c r="C45" s="37">
        <v>0</v>
      </c>
      <c r="D45" s="37">
        <v>1</v>
      </c>
    </row>
    <row r="46" spans="1:4" ht="24">
      <c r="A46" s="39"/>
      <c r="B46" s="39" t="s">
        <v>77</v>
      </c>
      <c r="C46" s="40">
        <f>+C7+C8+C9+C10+C15+C18+C22+C27+C31+C32+C33+C42+C43</f>
        <v>890</v>
      </c>
      <c r="D46" s="40">
        <f>+D7+D8+D9+D10+D15+D18+D22+D27+D31+D32+D33+D42+D43</f>
        <v>713</v>
      </c>
    </row>
    <row r="47" spans="1:4" ht="15">
      <c r="A47" s="36"/>
      <c r="B47" s="36" t="s">
        <v>78</v>
      </c>
      <c r="C47" s="38">
        <f>+C48+C49</f>
        <v>0</v>
      </c>
      <c r="D47" s="38">
        <f>+D48+D49</f>
        <v>0</v>
      </c>
    </row>
    <row r="48" spans="1:4" ht="15">
      <c r="A48" s="36" t="s">
        <v>79</v>
      </c>
      <c r="B48" s="36" t="s">
        <v>158</v>
      </c>
      <c r="C48" s="37">
        <v>0</v>
      </c>
      <c r="D48" s="37">
        <v>0</v>
      </c>
    </row>
    <row r="49" spans="1:4" ht="15">
      <c r="A49" s="36" t="s">
        <v>81</v>
      </c>
      <c r="B49" s="36" t="s">
        <v>159</v>
      </c>
      <c r="C49" s="37">
        <v>0</v>
      </c>
      <c r="D49" s="37">
        <v>0</v>
      </c>
    </row>
    <row r="50" spans="1:4" ht="15">
      <c r="A50" s="36"/>
      <c r="B50" s="36" t="s">
        <v>83</v>
      </c>
      <c r="C50" s="38">
        <f>+C51+C52+C53</f>
        <v>0</v>
      </c>
      <c r="D50" s="38">
        <f>+D51+D52+D53</f>
        <v>0</v>
      </c>
    </row>
    <row r="51" spans="1:4" ht="24">
      <c r="A51" s="36" t="s">
        <v>84</v>
      </c>
      <c r="B51" s="36" t="s">
        <v>160</v>
      </c>
      <c r="C51" s="37">
        <v>0</v>
      </c>
      <c r="D51" s="37">
        <v>0</v>
      </c>
    </row>
    <row r="52" spans="1:4" ht="35.25">
      <c r="A52" s="36" t="s">
        <v>86</v>
      </c>
      <c r="B52" s="36" t="s">
        <v>161</v>
      </c>
      <c r="C52" s="37">
        <v>0</v>
      </c>
      <c r="D52" s="37">
        <v>0</v>
      </c>
    </row>
    <row r="53" spans="1:4" ht="15">
      <c r="A53" s="36" t="s">
        <v>88</v>
      </c>
      <c r="B53" s="36" t="s">
        <v>162</v>
      </c>
      <c r="C53" s="37">
        <v>0</v>
      </c>
      <c r="D53" s="37">
        <v>0</v>
      </c>
    </row>
    <row r="54" spans="1:4" ht="15">
      <c r="A54" s="36" t="s">
        <v>90</v>
      </c>
      <c r="B54" s="36" t="s">
        <v>91</v>
      </c>
      <c r="C54" s="37">
        <v>0</v>
      </c>
      <c r="D54" s="37">
        <v>0</v>
      </c>
    </row>
    <row r="55" spans="1:4" ht="15">
      <c r="A55" s="36" t="s">
        <v>92</v>
      </c>
      <c r="B55" s="36" t="s">
        <v>93</v>
      </c>
      <c r="C55" s="37">
        <v>0</v>
      </c>
      <c r="D55" s="37">
        <v>0</v>
      </c>
    </row>
    <row r="56" spans="1:4" ht="24">
      <c r="A56" s="36" t="s">
        <v>94</v>
      </c>
      <c r="B56" s="36" t="s">
        <v>95</v>
      </c>
      <c r="C56" s="37">
        <v>0</v>
      </c>
      <c r="D56" s="37">
        <v>0</v>
      </c>
    </row>
    <row r="57" spans="1:4" ht="15">
      <c r="A57" s="36"/>
      <c r="B57" s="36" t="s">
        <v>96</v>
      </c>
      <c r="C57" s="37">
        <v>0</v>
      </c>
      <c r="D57" s="37">
        <v>0</v>
      </c>
    </row>
    <row r="58" spans="1:4" ht="15">
      <c r="A58" s="39"/>
      <c r="B58" s="39" t="s">
        <v>97</v>
      </c>
      <c r="C58" s="40">
        <f>+C47+C50+C54+C55+C56+C57</f>
        <v>0</v>
      </c>
      <c r="D58" s="40">
        <f>+D47+D50+D54+D55+D56+D57</f>
        <v>0</v>
      </c>
    </row>
    <row r="59" spans="1:4" ht="15">
      <c r="A59" s="39"/>
      <c r="B59" s="39" t="s">
        <v>98</v>
      </c>
      <c r="C59" s="40">
        <f>+C46+C58</f>
        <v>890</v>
      </c>
      <c r="D59" s="40">
        <f>+D46+D58</f>
        <v>713</v>
      </c>
    </row>
    <row r="60" spans="1:4" ht="15">
      <c r="A60" s="36" t="s">
        <v>99</v>
      </c>
      <c r="B60" s="36" t="s">
        <v>100</v>
      </c>
      <c r="C60" s="37">
        <v>0</v>
      </c>
      <c r="D60" s="37">
        <v>0</v>
      </c>
    </row>
    <row r="61" spans="1:4" ht="24">
      <c r="A61" s="39"/>
      <c r="B61" s="39" t="s">
        <v>101</v>
      </c>
      <c r="C61" s="40">
        <f>+C59+C60</f>
        <v>890</v>
      </c>
      <c r="D61" s="40">
        <f>+D59+D60</f>
        <v>713</v>
      </c>
    </row>
    <row r="62" spans="1:4" ht="15">
      <c r="A62" s="33"/>
      <c r="B62" s="34" t="s">
        <v>102</v>
      </c>
      <c r="C62" s="35" t="s">
        <v>4</v>
      </c>
      <c r="D62" s="35" t="s">
        <v>4</v>
      </c>
    </row>
    <row r="63" spans="1:4" ht="24">
      <c r="A63" s="36"/>
      <c r="B63" s="36" t="s">
        <v>103</v>
      </c>
      <c r="C63" s="37">
        <v>0</v>
      </c>
      <c r="D63" s="37">
        <v>0</v>
      </c>
    </row>
    <row r="64" spans="1:4" ht="15">
      <c r="A64" s="36"/>
      <c r="B64" s="36" t="s">
        <v>104</v>
      </c>
      <c r="C64" s="40">
        <f>+C61+C63</f>
        <v>890</v>
      </c>
      <c r="D64" s="40">
        <f>+D61+D63</f>
        <v>713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163</v>
      </c>
      <c r="C2" s="15" t="s">
        <v>6</v>
      </c>
      <c r="D2" s="15" t="s">
        <v>7</v>
      </c>
    </row>
    <row r="3" spans="1:4" ht="15.75" thickBot="1">
      <c r="A3" s="15"/>
      <c r="B3" s="15" t="s">
        <v>10</v>
      </c>
      <c r="C3" s="18">
        <f>C58</f>
        <v>-28.427329999999998</v>
      </c>
      <c r="D3" s="18">
        <f>D58</f>
        <v>-26.41426</v>
      </c>
    </row>
    <row r="4" spans="1:4" ht="23.25" thickBot="1">
      <c r="A4" s="13" t="s">
        <v>11</v>
      </c>
      <c r="B4" s="13" t="s">
        <v>12</v>
      </c>
      <c r="C4" s="14"/>
      <c r="D4" s="14">
        <f>793/1000</f>
        <v>0.793</v>
      </c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-0.105</v>
      </c>
      <c r="D7" s="14">
        <f>SUM(D8:D11)</f>
        <v>-4.0504999999999995</v>
      </c>
    </row>
    <row r="8" spans="1:4" ht="15.75" thickBot="1">
      <c r="A8" s="13" t="s">
        <v>19</v>
      </c>
      <c r="B8" s="13" t="s">
        <v>20</v>
      </c>
      <c r="C8" s="14"/>
      <c r="D8" s="14">
        <f>-3.2525</f>
        <v>-3.2525</v>
      </c>
    </row>
    <row r="9" spans="1:4" ht="34.5" thickBot="1">
      <c r="A9" s="13" t="s">
        <v>21</v>
      </c>
      <c r="B9" s="13" t="s">
        <v>22</v>
      </c>
      <c r="C9" s="14">
        <f>-105/1000</f>
        <v>-0.105</v>
      </c>
      <c r="D9" s="14">
        <f>-798/1000</f>
        <v>-0.798</v>
      </c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29.148</v>
      </c>
      <c r="D12" s="14">
        <f>SUM(D13:D14)</f>
        <v>33.0255</v>
      </c>
    </row>
    <row r="13" spans="1:4" ht="15.75" thickBot="1">
      <c r="A13" s="13" t="s">
        <v>28</v>
      </c>
      <c r="B13" s="13" t="s">
        <v>29</v>
      </c>
      <c r="C13" s="14">
        <f>29.148</f>
        <v>29.148</v>
      </c>
      <c r="D13" s="14">
        <f>33.0255</f>
        <v>33.0255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-19.703969999999998</v>
      </c>
      <c r="D15" s="14">
        <f>SUM(D16:D18)</f>
        <v>-18.57443</v>
      </c>
    </row>
    <row r="16" spans="1:4" ht="15.75" thickBot="1">
      <c r="A16" s="13" t="s">
        <v>33</v>
      </c>
      <c r="B16" s="13" t="s">
        <v>34</v>
      </c>
      <c r="C16" s="14">
        <f>-13.96076</f>
        <v>-13.96076</v>
      </c>
      <c r="D16" s="14">
        <f>-15.29942</f>
        <v>-15.29942</v>
      </c>
    </row>
    <row r="17" spans="1:4" ht="15.75" thickBot="1">
      <c r="A17" s="13" t="s">
        <v>35</v>
      </c>
      <c r="B17" s="13" t="s">
        <v>36</v>
      </c>
      <c r="C17" s="14">
        <f>-3.49321-2.25</f>
        <v>-5.7432099999999995</v>
      </c>
      <c r="D17" s="14">
        <f>-3.27501</f>
        <v>-3.27501</v>
      </c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-12.28395</v>
      </c>
      <c r="D19" s="14">
        <f>SUM(D20:D23)</f>
        <v>-5.55459</v>
      </c>
    </row>
    <row r="20" spans="1:4" ht="34.5" thickBot="1">
      <c r="A20" s="13" t="s">
        <v>40</v>
      </c>
      <c r="B20" s="13" t="s">
        <v>41</v>
      </c>
      <c r="C20" s="14">
        <f>-12.28395</f>
        <v>-12.28395</v>
      </c>
      <c r="D20" s="14">
        <f>-5.55459</f>
        <v>-5.55459</v>
      </c>
    </row>
    <row r="21" spans="1:4" ht="15.75" thickBot="1">
      <c r="A21" s="13" t="s">
        <v>42</v>
      </c>
      <c r="B21" s="13" t="s">
        <v>43</v>
      </c>
      <c r="C21" s="14"/>
      <c r="D21" s="14"/>
    </row>
    <row r="22" spans="1:4" ht="15.75" thickBot="1">
      <c r="A22" s="13" t="s">
        <v>44</v>
      </c>
      <c r="B22" s="13" t="s">
        <v>45</v>
      </c>
      <c r="C22" s="14"/>
      <c r="D22" s="14"/>
    </row>
    <row r="23" spans="1:7" ht="15.75" thickBot="1">
      <c r="A23" s="13" t="s">
        <v>46</v>
      </c>
      <c r="B23" s="13" t="s">
        <v>47</v>
      </c>
      <c r="C23" s="14"/>
      <c r="D23" s="14"/>
      <c r="F23" s="19"/>
      <c r="G23" s="19"/>
    </row>
    <row r="24" spans="1:7" ht="15.75" thickBot="1">
      <c r="A24" s="13" t="s">
        <v>17</v>
      </c>
      <c r="B24" s="13" t="s">
        <v>48</v>
      </c>
      <c r="C24" s="14">
        <f>SUM(C25:C27)</f>
        <v>-29.73434</v>
      </c>
      <c r="D24" s="14">
        <f>SUM(D25:D27)</f>
        <v>-36.34025</v>
      </c>
      <c r="F24" s="20"/>
      <c r="G24" s="20"/>
    </row>
    <row r="25" spans="1:7" ht="15.75" thickBot="1">
      <c r="A25" s="13" t="s">
        <v>49</v>
      </c>
      <c r="B25" s="13" t="s">
        <v>50</v>
      </c>
      <c r="C25" s="14"/>
      <c r="D25" s="14"/>
      <c r="F25" s="20"/>
      <c r="G25" s="20"/>
    </row>
    <row r="26" spans="1:7" ht="15.75" thickBot="1">
      <c r="A26" s="13" t="s">
        <v>51</v>
      </c>
      <c r="B26" s="13" t="s">
        <v>52</v>
      </c>
      <c r="C26" s="14">
        <f>-29.73434</f>
        <v>-29.73434</v>
      </c>
      <c r="D26" s="14">
        <f>-36.34025</f>
        <v>-36.34025</v>
      </c>
      <c r="F26" s="20"/>
      <c r="G26" s="20"/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>
        <f>4.23713</f>
        <v>4.23713</v>
      </c>
      <c r="D28" s="14">
        <f>4.23714</f>
        <v>4.23714</v>
      </c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-28.44213</v>
      </c>
      <c r="D43" s="12">
        <f>D4+D5+D6+D7+D12+D15+D19+D24+D28+D29+D30+D39+D40</f>
        <v>-26.464129999999997</v>
      </c>
    </row>
    <row r="44" spans="1:4" ht="15.75" thickBot="1">
      <c r="A44" s="13" t="s">
        <v>17</v>
      </c>
      <c r="B44" s="13" t="s">
        <v>78</v>
      </c>
      <c r="C44" s="14">
        <f>SUM(C45:C46)</f>
        <v>0.0148</v>
      </c>
      <c r="D44" s="14">
        <f>SUM(D45:D46)</f>
        <v>0.04987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>
        <f>14.8/1000</f>
        <v>0.0148</v>
      </c>
      <c r="D46" s="14">
        <f>49.87/1000</f>
        <v>0.04987</v>
      </c>
    </row>
    <row r="47" spans="1:4" ht="15.75" thickBot="1">
      <c r="A47" s="13" t="s">
        <v>17</v>
      </c>
      <c r="B47" s="13" t="s">
        <v>83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0.0148</v>
      </c>
      <c r="D55" s="12">
        <f>D44+D47+D51+D52+D53+D54</f>
        <v>0.04987</v>
      </c>
    </row>
    <row r="56" spans="1:4" ht="15.75" thickBot="1">
      <c r="A56" s="11" t="s">
        <v>17</v>
      </c>
      <c r="B56" s="11" t="s">
        <v>98</v>
      </c>
      <c r="C56" s="12">
        <f>C43+C55</f>
        <v>-28.427329999999998</v>
      </c>
      <c r="D56" s="12">
        <f>D43+D55</f>
        <v>-26.41426</v>
      </c>
    </row>
    <row r="57" spans="1:4" ht="15.75" thickBot="1">
      <c r="A57" s="13" t="s">
        <v>99</v>
      </c>
      <c r="B57" s="13" t="s">
        <v>100</v>
      </c>
      <c r="C57" s="14"/>
      <c r="D57" s="14"/>
    </row>
    <row r="58" spans="1:4" ht="23.25" thickBot="1">
      <c r="A58" s="11" t="s">
        <v>17</v>
      </c>
      <c r="B58" s="11" t="s">
        <v>101</v>
      </c>
      <c r="C58" s="12">
        <f>C56+C57</f>
        <v>-28.427329999999998</v>
      </c>
      <c r="D58" s="12">
        <f>D56+D57</f>
        <v>-26.41426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-28.427329999999998</v>
      </c>
      <c r="D61" s="14">
        <f>D58+D60</f>
        <v>-26.41426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5" width="16.140625" style="0" customWidth="1"/>
    <col min="6" max="6" width="15.28125" style="0" hidden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15" t="s">
        <v>6</v>
      </c>
      <c r="D2" s="15" t="s">
        <v>7</v>
      </c>
    </row>
    <row r="3" spans="1:4" ht="15.75" thickBot="1">
      <c r="A3" s="15"/>
      <c r="B3" s="15" t="s">
        <v>10</v>
      </c>
      <c r="C3" s="18">
        <f>C58</f>
        <v>1178.8900000000003</v>
      </c>
      <c r="D3" s="18">
        <f>D58</f>
        <v>680.0050000000001</v>
      </c>
    </row>
    <row r="4" spans="1:4" ht="23.25" thickBot="1">
      <c r="A4" s="13" t="s">
        <v>11</v>
      </c>
      <c r="B4" s="13" t="s">
        <v>12</v>
      </c>
      <c r="C4" s="14">
        <v>1548.16</v>
      </c>
      <c r="D4" s="14">
        <v>1039.42</v>
      </c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-14.29</v>
      </c>
      <c r="D7" s="14">
        <f>SUM(D8:D11)</f>
        <v>-15.19</v>
      </c>
    </row>
    <row r="8" spans="1:4" ht="15.75" thickBot="1">
      <c r="A8" s="13" t="s">
        <v>19</v>
      </c>
      <c r="B8" s="13" t="s">
        <v>20</v>
      </c>
      <c r="C8" s="14">
        <v>-14.29</v>
      </c>
      <c r="D8" s="14">
        <v>-15.19</v>
      </c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16.74</v>
      </c>
      <c r="D12" s="14">
        <f>SUM(D13:D14)</f>
        <v>8.66</v>
      </c>
    </row>
    <row r="13" spans="1:4" ht="15.75" thickBot="1">
      <c r="A13" s="13" t="s">
        <v>28</v>
      </c>
      <c r="B13" s="13" t="s">
        <v>29</v>
      </c>
      <c r="C13" s="14">
        <v>16.74</v>
      </c>
      <c r="D13" s="14">
        <v>8.66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-195.31</v>
      </c>
      <c r="D15" s="14">
        <f>SUM(D16:D18)</f>
        <v>-201.64</v>
      </c>
    </row>
    <row r="16" spans="1:4" ht="15.75" thickBot="1">
      <c r="A16" s="13" t="s">
        <v>33</v>
      </c>
      <c r="B16" s="13" t="s">
        <v>34</v>
      </c>
      <c r="C16" s="14">
        <v>-145.56</v>
      </c>
      <c r="D16" s="14">
        <v>-150.73</v>
      </c>
    </row>
    <row r="17" spans="1:4" ht="15.75" thickBot="1">
      <c r="A17" s="13" t="s">
        <v>35</v>
      </c>
      <c r="B17" s="13" t="s">
        <v>36</v>
      </c>
      <c r="C17" s="14">
        <v>-49.75</v>
      </c>
      <c r="D17" s="14">
        <v>-50.91</v>
      </c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-93.07</v>
      </c>
      <c r="D19" s="14">
        <f>SUM(D20:D23)</f>
        <v>-151.33</v>
      </c>
    </row>
    <row r="20" spans="1:4" ht="34.5" thickBot="1">
      <c r="A20" s="13" t="s">
        <v>40</v>
      </c>
      <c r="B20" s="13" t="s">
        <v>41</v>
      </c>
      <c r="C20" s="14">
        <v>-93.07</v>
      </c>
      <c r="D20" s="14">
        <v>-151.33</v>
      </c>
    </row>
    <row r="21" spans="1:4" ht="15.75" thickBot="1">
      <c r="A21" s="13" t="s">
        <v>42</v>
      </c>
      <c r="B21" s="13" t="s">
        <v>43</v>
      </c>
      <c r="C21" s="14"/>
      <c r="D21" s="14"/>
    </row>
    <row r="22" spans="1:4" ht="15.75" thickBot="1">
      <c r="A22" s="13" t="s">
        <v>44</v>
      </c>
      <c r="B22" s="13" t="s">
        <v>45</v>
      </c>
      <c r="C22" s="14"/>
      <c r="D22" s="14"/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49</v>
      </c>
      <c r="B25" s="13" t="s">
        <v>50</v>
      </c>
      <c r="C25" s="14"/>
      <c r="D25" s="14"/>
    </row>
    <row r="26" spans="1:4" ht="15.75" thickBot="1">
      <c r="A26" s="13" t="s">
        <v>51</v>
      </c>
      <c r="B26" s="13" t="s">
        <v>52</v>
      </c>
      <c r="C26" s="14"/>
      <c r="D26" s="14"/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-83.34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>
        <v>-83.34</v>
      </c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1178.8900000000003</v>
      </c>
      <c r="D43" s="12">
        <f>D4+D5+D6+D7+D12+D15+D19+D24+D28+D29+D30+D39+D40</f>
        <v>679.9200000000001</v>
      </c>
    </row>
    <row r="44" spans="1:4" ht="15.75" thickBot="1">
      <c r="A44" s="13" t="s">
        <v>17</v>
      </c>
      <c r="B44" s="13" t="s">
        <v>78</v>
      </c>
      <c r="C44" s="14">
        <f>SUM(C45:C46)</f>
        <v>0</v>
      </c>
      <c r="D44" s="14">
        <f>SUM(D45:D46)</f>
        <v>0.085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/>
      <c r="D46" s="14">
        <v>0.085</v>
      </c>
    </row>
    <row r="47" spans="1:4" ht="15.75" thickBot="1">
      <c r="A47" s="13" t="s">
        <v>17</v>
      </c>
      <c r="B47" s="13" t="s">
        <v>83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0</v>
      </c>
      <c r="D55" s="12">
        <f>D44+D47+D51+D52+D53+D54</f>
        <v>0.085</v>
      </c>
    </row>
    <row r="56" spans="1:4" ht="15.75" thickBot="1">
      <c r="A56" s="11" t="s">
        <v>17</v>
      </c>
      <c r="B56" s="11" t="s">
        <v>98</v>
      </c>
      <c r="C56" s="12">
        <f>C43+C55</f>
        <v>1178.8900000000003</v>
      </c>
      <c r="D56" s="12">
        <f>D43+D55</f>
        <v>680.0050000000001</v>
      </c>
    </row>
    <row r="57" spans="1:4" ht="15.75" thickBot="1">
      <c r="A57" s="13" t="s">
        <v>99</v>
      </c>
      <c r="B57" s="13" t="s">
        <v>100</v>
      </c>
      <c r="C57" s="14"/>
      <c r="D57" s="14"/>
    </row>
    <row r="58" spans="1:4" ht="23.25" thickBot="1">
      <c r="A58" s="11" t="s">
        <v>17</v>
      </c>
      <c r="B58" s="11" t="s">
        <v>101</v>
      </c>
      <c r="C58" s="12">
        <f>C56+C57</f>
        <v>1178.8900000000003</v>
      </c>
      <c r="D58" s="12">
        <f>D56+D57</f>
        <v>680.0050000000001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1178.8900000000003</v>
      </c>
      <c r="D61" s="14">
        <f>D58+D60</f>
        <v>680.0050000000001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6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6" spans="1:4" ht="19.5" customHeight="1" thickBot="1">
      <c r="A6" s="51" t="s">
        <v>5</v>
      </c>
      <c r="B6" s="51"/>
      <c r="C6" s="51"/>
      <c r="D6" s="51"/>
    </row>
    <row r="7" spans="1:4" ht="20.25" thickBot="1">
      <c r="A7" s="15"/>
      <c r="B7" s="17" t="s">
        <v>8</v>
      </c>
      <c r="C7" s="21">
        <v>42643</v>
      </c>
      <c r="D7" s="21">
        <v>42369</v>
      </c>
    </row>
    <row r="8" spans="1:4" ht="15.75" thickBot="1">
      <c r="A8" s="15"/>
      <c r="B8" s="15" t="s">
        <v>10</v>
      </c>
      <c r="C8" s="18">
        <f>C63</f>
        <v>714.4931699999996</v>
      </c>
      <c r="D8" s="18">
        <f>D63</f>
        <v>1020.8300000000002</v>
      </c>
    </row>
    <row r="9" spans="1:4" ht="23.25" thickBot="1">
      <c r="A9" s="13" t="s">
        <v>11</v>
      </c>
      <c r="B9" s="13" t="s">
        <v>12</v>
      </c>
      <c r="C9" s="14">
        <v>3455.89</v>
      </c>
      <c r="D9" s="14">
        <v>4965.64</v>
      </c>
    </row>
    <row r="10" spans="1:4" ht="15.75" thickBot="1">
      <c r="A10" s="13" t="s">
        <v>13</v>
      </c>
      <c r="B10" s="13" t="s">
        <v>14</v>
      </c>
      <c r="C10" s="14"/>
      <c r="D10" s="14"/>
    </row>
    <row r="11" spans="1:4" ht="15.75" thickBot="1">
      <c r="A11" s="13" t="s">
        <v>15</v>
      </c>
      <c r="B11" s="13" t="s">
        <v>16</v>
      </c>
      <c r="C11" s="14"/>
      <c r="D11" s="14"/>
    </row>
    <row r="12" spans="1:4" ht="15.75" thickBot="1">
      <c r="A12" s="13" t="s">
        <v>17</v>
      </c>
      <c r="B12" s="13" t="s">
        <v>18</v>
      </c>
      <c r="C12" s="14">
        <f>SUM(C13:C16)</f>
        <v>-420.05</v>
      </c>
      <c r="D12" s="14">
        <f>SUM(D13:D16)</f>
        <v>-689.3299999999999</v>
      </c>
    </row>
    <row r="13" spans="1:4" ht="15.75" thickBot="1">
      <c r="A13" s="13" t="s">
        <v>19</v>
      </c>
      <c r="B13" s="13" t="s">
        <v>20</v>
      </c>
      <c r="C13" s="14">
        <v>-58.74</v>
      </c>
      <c r="D13" s="14">
        <v>-75.43</v>
      </c>
    </row>
    <row r="14" spans="1:4" ht="34.5" thickBot="1">
      <c r="A14" s="13" t="s">
        <v>21</v>
      </c>
      <c r="B14" s="13" t="s">
        <v>22</v>
      </c>
      <c r="C14" s="14"/>
      <c r="D14" s="14"/>
    </row>
    <row r="15" spans="1:4" ht="15.75" thickBot="1">
      <c r="A15" s="13" t="s">
        <v>23</v>
      </c>
      <c r="B15" s="13" t="s">
        <v>24</v>
      </c>
      <c r="C15" s="14">
        <v>-361.31</v>
      </c>
      <c r="D15" s="14">
        <v>-613.9</v>
      </c>
    </row>
    <row r="16" spans="1:4" ht="23.25" thickBot="1">
      <c r="A16" s="13" t="s">
        <v>25</v>
      </c>
      <c r="B16" s="13" t="s">
        <v>26</v>
      </c>
      <c r="C16" s="14"/>
      <c r="D16" s="14"/>
    </row>
    <row r="17" spans="1:4" ht="15.75" thickBot="1">
      <c r="A17" s="13" t="s">
        <v>17</v>
      </c>
      <c r="B17" s="13" t="s">
        <v>27</v>
      </c>
      <c r="C17" s="14">
        <f>SUM(C18:C19)</f>
        <v>39.79</v>
      </c>
      <c r="D17" s="14">
        <f>SUM(D18:D19)</f>
        <v>3.44</v>
      </c>
    </row>
    <row r="18" spans="1:4" ht="15.75" thickBot="1">
      <c r="A18" s="13" t="s">
        <v>28</v>
      </c>
      <c r="B18" s="13" t="s">
        <v>29</v>
      </c>
      <c r="C18" s="14">
        <v>39.79</v>
      </c>
      <c r="D18" s="14">
        <v>3.44</v>
      </c>
    </row>
    <row r="19" spans="1:4" ht="15.75" thickBot="1">
      <c r="A19" s="13" t="s">
        <v>30</v>
      </c>
      <c r="B19" s="13" t="s">
        <v>31</v>
      </c>
      <c r="C19" s="14"/>
      <c r="D19" s="14"/>
    </row>
    <row r="20" spans="1:4" ht="15.75" thickBot="1">
      <c r="A20" s="13" t="s">
        <v>17</v>
      </c>
      <c r="B20" s="13" t="s">
        <v>32</v>
      </c>
      <c r="C20" s="14">
        <f>SUM(C21:C23)</f>
        <v>-1777.26</v>
      </c>
      <c r="D20" s="14">
        <f>SUM(D21:D23)</f>
        <v>-2247.41</v>
      </c>
    </row>
    <row r="21" spans="1:4" ht="15.75" thickBot="1">
      <c r="A21" s="13" t="s">
        <v>33</v>
      </c>
      <c r="B21" s="13" t="s">
        <v>34</v>
      </c>
      <c r="C21" s="14">
        <f>-1777.26-C22</f>
        <v>-1373.35944</v>
      </c>
      <c r="D21" s="14">
        <v>-1687.41</v>
      </c>
    </row>
    <row r="22" spans="1:4" ht="15.75" thickBot="1">
      <c r="A22" s="13" t="s">
        <v>35</v>
      </c>
      <c r="B22" s="13" t="s">
        <v>36</v>
      </c>
      <c r="C22" s="14">
        <f>(-379469.62-24430.94)/1000</f>
        <v>-403.90056</v>
      </c>
      <c r="D22" s="14">
        <v>-560</v>
      </c>
    </row>
    <row r="23" spans="1:4" ht="15.75" thickBot="1">
      <c r="A23" s="13" t="s">
        <v>37</v>
      </c>
      <c r="B23" s="13" t="s">
        <v>38</v>
      </c>
      <c r="C23" s="14"/>
      <c r="D23" s="14"/>
    </row>
    <row r="24" spans="1:4" ht="15.75" thickBot="1">
      <c r="A24" s="13" t="s">
        <v>17</v>
      </c>
      <c r="B24" s="13" t="s">
        <v>39</v>
      </c>
      <c r="C24" s="14">
        <f>SUM(C25:C28)</f>
        <v>-305.51583</v>
      </c>
      <c r="D24" s="14">
        <f>SUM(D25:D28)</f>
        <v>-584.88</v>
      </c>
    </row>
    <row r="25" spans="1:4" ht="34.5" thickBot="1">
      <c r="A25" s="13" t="s">
        <v>40</v>
      </c>
      <c r="B25" s="13" t="s">
        <v>41</v>
      </c>
      <c r="C25" s="14">
        <v>-304.989</v>
      </c>
      <c r="D25" s="14">
        <v>-584.03</v>
      </c>
    </row>
    <row r="26" spans="1:4" ht="15.75" thickBot="1">
      <c r="A26" s="13" t="s">
        <v>42</v>
      </c>
      <c r="B26" s="13" t="s">
        <v>43</v>
      </c>
      <c r="C26" s="14">
        <v>-0.52683</v>
      </c>
      <c r="D26" s="14">
        <v>-0.85</v>
      </c>
    </row>
    <row r="27" spans="1:4" ht="15.75" thickBot="1">
      <c r="A27" s="13" t="s">
        <v>44</v>
      </c>
      <c r="B27" s="13" t="s">
        <v>45</v>
      </c>
      <c r="C27" s="14"/>
      <c r="D27" s="14"/>
    </row>
    <row r="28" spans="1:4" ht="15.75" thickBot="1">
      <c r="A28" s="13" t="s">
        <v>46</v>
      </c>
      <c r="B28" s="13" t="s">
        <v>47</v>
      </c>
      <c r="C28" s="14"/>
      <c r="D28" s="14"/>
    </row>
    <row r="29" spans="1:4" ht="15.75" thickBot="1">
      <c r="A29" s="13" t="s">
        <v>17</v>
      </c>
      <c r="B29" s="13" t="s">
        <v>48</v>
      </c>
      <c r="C29" s="14">
        <f>SUM(C30:C32)</f>
        <v>-41.363</v>
      </c>
      <c r="D29" s="14">
        <f>SUM(D30:D32)</f>
        <v>-29.82</v>
      </c>
    </row>
    <row r="30" spans="1:4" ht="15.75" thickBot="1">
      <c r="A30" s="13" t="s">
        <v>49</v>
      </c>
      <c r="B30" s="13" t="s">
        <v>50</v>
      </c>
      <c r="C30" s="14">
        <v>-2.848</v>
      </c>
      <c r="D30" s="14">
        <v>-5.25</v>
      </c>
    </row>
    <row r="31" spans="1:4" ht="15.75" thickBot="1">
      <c r="A31" s="13" t="s">
        <v>51</v>
      </c>
      <c r="B31" s="13" t="s">
        <v>52</v>
      </c>
      <c r="C31" s="14">
        <f>-41.363-C30</f>
        <v>-38.515</v>
      </c>
      <c r="D31" s="14">
        <v>-24.57</v>
      </c>
    </row>
    <row r="32" spans="1:4" ht="15.75" thickBot="1">
      <c r="A32" s="13" t="s">
        <v>53</v>
      </c>
      <c r="B32" s="13" t="s">
        <v>54</v>
      </c>
      <c r="C32" s="14"/>
      <c r="D32" s="14"/>
    </row>
    <row r="33" spans="1:4" ht="15.75" thickBot="1">
      <c r="A33" s="13" t="s">
        <v>17</v>
      </c>
      <c r="B33" s="13" t="s">
        <v>55</v>
      </c>
      <c r="C33" s="14"/>
      <c r="D33" s="14"/>
    </row>
    <row r="34" spans="1:4" ht="15.75" thickBot="1">
      <c r="A34" s="13" t="s">
        <v>56</v>
      </c>
      <c r="B34" s="13" t="s">
        <v>57</v>
      </c>
      <c r="C34" s="14"/>
      <c r="D34" s="14"/>
    </row>
    <row r="35" spans="1:4" ht="15.75" thickBot="1">
      <c r="A35" s="13" t="s">
        <v>17</v>
      </c>
      <c r="B35" s="13" t="s">
        <v>58</v>
      </c>
      <c r="C35" s="14">
        <f>C36+C40</f>
        <v>0</v>
      </c>
      <c r="D35" s="14">
        <f>D36+D40</f>
        <v>0</v>
      </c>
    </row>
    <row r="36" spans="1:4" ht="15.75" thickBot="1">
      <c r="A36" s="13" t="s">
        <v>17</v>
      </c>
      <c r="B36" s="13" t="s">
        <v>59</v>
      </c>
      <c r="C36" s="14">
        <f>SUM(C37:C39)</f>
        <v>0</v>
      </c>
      <c r="D36" s="14">
        <f>SUM(D37:D39)</f>
        <v>0</v>
      </c>
    </row>
    <row r="37" spans="1:4" ht="15.75" thickBot="1">
      <c r="A37" s="13" t="s">
        <v>60</v>
      </c>
      <c r="B37" s="13" t="s">
        <v>61</v>
      </c>
      <c r="C37" s="14"/>
      <c r="D37" s="14"/>
    </row>
    <row r="38" spans="1:4" ht="15.75" thickBot="1">
      <c r="A38" s="13" t="s">
        <v>62</v>
      </c>
      <c r="B38" s="13" t="s">
        <v>63</v>
      </c>
      <c r="C38" s="14"/>
      <c r="D38" s="14"/>
    </row>
    <row r="39" spans="1:4" ht="15.75" thickBot="1">
      <c r="A39" s="13" t="s">
        <v>64</v>
      </c>
      <c r="B39" s="13" t="s">
        <v>65</v>
      </c>
      <c r="C39" s="14"/>
      <c r="D39" s="14"/>
    </row>
    <row r="40" spans="1:4" ht="15.75" thickBot="1">
      <c r="A40" s="13" t="s">
        <v>17</v>
      </c>
      <c r="B40" s="13" t="s">
        <v>66</v>
      </c>
      <c r="C40" s="14">
        <f>SUM(C41:C43)</f>
        <v>0</v>
      </c>
      <c r="D40" s="14">
        <f>SUM(D41:D43)</f>
        <v>0</v>
      </c>
    </row>
    <row r="41" spans="1:4" ht="15.75" thickBot="1">
      <c r="A41" s="13" t="s">
        <v>67</v>
      </c>
      <c r="B41" s="13" t="s">
        <v>61</v>
      </c>
      <c r="C41" s="14"/>
      <c r="D41" s="14"/>
    </row>
    <row r="42" spans="1:4" ht="15.75" thickBot="1">
      <c r="A42" s="13" t="s">
        <v>68</v>
      </c>
      <c r="B42" s="13" t="s">
        <v>63</v>
      </c>
      <c r="C42" s="14"/>
      <c r="D42" s="14"/>
    </row>
    <row r="43" spans="1:4" ht="15.75" thickBot="1">
      <c r="A43" s="13" t="s">
        <v>69</v>
      </c>
      <c r="B43" s="13" t="s">
        <v>65</v>
      </c>
      <c r="C43" s="14"/>
      <c r="D43" s="14"/>
    </row>
    <row r="44" spans="1:4" ht="15.75" thickBot="1">
      <c r="A44" s="13" t="s">
        <v>70</v>
      </c>
      <c r="B44" s="13" t="s">
        <v>71</v>
      </c>
      <c r="C44" s="14"/>
      <c r="D44" s="14"/>
    </row>
    <row r="45" spans="1:4" ht="15.75" thickBot="1">
      <c r="A45" s="13" t="s">
        <v>70</v>
      </c>
      <c r="B45" s="13" t="s">
        <v>72</v>
      </c>
      <c r="C45" s="14">
        <f>SUM(C46:C47)</f>
        <v>0</v>
      </c>
      <c r="D45" s="14">
        <f>SUM(D46:D47)</f>
        <v>0</v>
      </c>
    </row>
    <row r="46" spans="1:4" ht="15.75" thickBot="1">
      <c r="A46" s="13" t="s">
        <v>73</v>
      </c>
      <c r="B46" s="13" t="s">
        <v>74</v>
      </c>
      <c r="C46" s="14"/>
      <c r="D46" s="14"/>
    </row>
    <row r="47" spans="1:4" ht="15.75" thickBot="1">
      <c r="A47" s="13" t="s">
        <v>75</v>
      </c>
      <c r="B47" s="13" t="s">
        <v>76</v>
      </c>
      <c r="C47" s="14"/>
      <c r="D47" s="14"/>
    </row>
    <row r="48" spans="1:4" ht="15.75" thickBot="1">
      <c r="A48" s="11" t="s">
        <v>17</v>
      </c>
      <c r="B48" s="11" t="s">
        <v>77</v>
      </c>
      <c r="C48" s="12">
        <f>C9+C10+C11+C12+C17+C20+C24+C29+C33+C34+C35+C44+C45</f>
        <v>951.4911699999996</v>
      </c>
      <c r="D48" s="12">
        <f>D9+D10+D11+D12+D17+D20+D24+D29+D33+D34+D35+D44+D45</f>
        <v>1417.64</v>
      </c>
    </row>
    <row r="49" spans="1:4" ht="15.75" thickBot="1">
      <c r="A49" s="13" t="s">
        <v>17</v>
      </c>
      <c r="B49" s="13" t="s">
        <v>78</v>
      </c>
      <c r="C49" s="14">
        <f>SUM(C50:C51)</f>
        <v>1.172</v>
      </c>
      <c r="D49" s="14">
        <f>SUM(D50:D51)</f>
        <v>0.18</v>
      </c>
    </row>
    <row r="50" spans="1:4" ht="15.75" thickBot="1">
      <c r="A50" s="13" t="s">
        <v>79</v>
      </c>
      <c r="B50" s="13" t="s">
        <v>80</v>
      </c>
      <c r="C50" s="14"/>
      <c r="D50" s="14"/>
    </row>
    <row r="51" spans="1:4" ht="15.75" thickBot="1">
      <c r="A51" s="13" t="s">
        <v>81</v>
      </c>
      <c r="B51" s="13" t="s">
        <v>82</v>
      </c>
      <c r="C51" s="14">
        <v>1.172</v>
      </c>
      <c r="D51" s="14">
        <v>0.18</v>
      </c>
    </row>
    <row r="52" spans="1:4" ht="15.75" thickBot="1">
      <c r="A52" s="13" t="s">
        <v>17</v>
      </c>
      <c r="B52" s="13" t="s">
        <v>83</v>
      </c>
      <c r="C52" s="14">
        <f>SUM(C53:C55)</f>
        <v>0</v>
      </c>
      <c r="D52" s="14">
        <f>SUM(D53:D55)</f>
        <v>0</v>
      </c>
    </row>
    <row r="53" spans="1:4" ht="45.75" thickBot="1">
      <c r="A53" s="13" t="s">
        <v>84</v>
      </c>
      <c r="B53" s="13" t="s">
        <v>85</v>
      </c>
      <c r="C53" s="14"/>
      <c r="D53" s="14"/>
    </row>
    <row r="54" spans="1:4" ht="57" thickBot="1">
      <c r="A54" s="13" t="s">
        <v>86</v>
      </c>
      <c r="B54" s="13" t="s">
        <v>87</v>
      </c>
      <c r="C54" s="14"/>
      <c r="D54" s="14"/>
    </row>
    <row r="55" spans="1:4" ht="15.75" thickBot="1">
      <c r="A55" s="13" t="s">
        <v>88</v>
      </c>
      <c r="B55" s="13" t="s">
        <v>89</v>
      </c>
      <c r="C55" s="14"/>
      <c r="D55" s="14"/>
    </row>
    <row r="56" spans="1:4" ht="15.75" thickBot="1">
      <c r="A56" s="13" t="s">
        <v>90</v>
      </c>
      <c r="B56" s="13" t="s">
        <v>91</v>
      </c>
      <c r="C56" s="14"/>
      <c r="D56" s="14"/>
    </row>
    <row r="57" spans="1:4" ht="15.75" thickBot="1">
      <c r="A57" s="13" t="s">
        <v>92</v>
      </c>
      <c r="B57" s="13" t="s">
        <v>93</v>
      </c>
      <c r="C57" s="14"/>
      <c r="D57" s="14"/>
    </row>
    <row r="58" spans="1:4" ht="23.25" thickBot="1">
      <c r="A58" s="13" t="s">
        <v>94</v>
      </c>
      <c r="B58" s="13" t="s">
        <v>95</v>
      </c>
      <c r="C58" s="14"/>
      <c r="D58" s="14"/>
    </row>
    <row r="59" spans="1:4" ht="15.75" thickBot="1">
      <c r="A59" s="13" t="s">
        <v>17</v>
      </c>
      <c r="B59" s="13" t="s">
        <v>96</v>
      </c>
      <c r="C59" s="14"/>
      <c r="D59" s="14"/>
    </row>
    <row r="60" spans="1:4" ht="15.75" thickBot="1">
      <c r="A60" s="11" t="s">
        <v>17</v>
      </c>
      <c r="B60" s="11" t="s">
        <v>97</v>
      </c>
      <c r="C60" s="12">
        <f>C49+C52+C56+C57+C58+C59</f>
        <v>1.172</v>
      </c>
      <c r="D60" s="12">
        <f>D49+D52+D56+D57+D58+D59</f>
        <v>0.18</v>
      </c>
    </row>
    <row r="61" spans="1:4" ht="15.75" thickBot="1">
      <c r="A61" s="11" t="s">
        <v>17</v>
      </c>
      <c r="B61" s="11" t="s">
        <v>98</v>
      </c>
      <c r="C61" s="12">
        <f>C48+C60</f>
        <v>952.6631699999996</v>
      </c>
      <c r="D61" s="12">
        <f>D48+D60</f>
        <v>1417.8200000000002</v>
      </c>
    </row>
    <row r="62" spans="1:4" ht="15.75" thickBot="1">
      <c r="A62" s="13" t="s">
        <v>99</v>
      </c>
      <c r="B62" s="13" t="s">
        <v>100</v>
      </c>
      <c r="C62" s="14">
        <v>-238.17</v>
      </c>
      <c r="D62" s="14">
        <v>-396.99</v>
      </c>
    </row>
    <row r="63" spans="1:4" ht="23.25" thickBot="1">
      <c r="A63" s="11" t="s">
        <v>17</v>
      </c>
      <c r="B63" s="11" t="s">
        <v>101</v>
      </c>
      <c r="C63" s="12">
        <f>C61+C62</f>
        <v>714.4931699999996</v>
      </c>
      <c r="D63" s="12">
        <f>D61+D62</f>
        <v>1020.8300000000002</v>
      </c>
    </row>
    <row r="64" spans="1:4" ht="15.75" thickBot="1">
      <c r="A64" s="15"/>
      <c r="B64" s="15" t="s">
        <v>102</v>
      </c>
      <c r="C64" s="18">
        <f>C65</f>
        <v>0</v>
      </c>
      <c r="D64" s="18">
        <f>D65</f>
        <v>0</v>
      </c>
    </row>
    <row r="65" spans="1:4" ht="15.75" thickBot="1">
      <c r="A65" s="13" t="s">
        <v>17</v>
      </c>
      <c r="B65" s="13" t="s">
        <v>103</v>
      </c>
      <c r="C65" s="14"/>
      <c r="D65" s="14"/>
    </row>
    <row r="66" spans="1:4" ht="15.75" thickBot="1">
      <c r="A66" s="13" t="s">
        <v>17</v>
      </c>
      <c r="B66" s="13" t="s">
        <v>104</v>
      </c>
      <c r="C66" s="14">
        <f>C63+C65</f>
        <v>714.4931699999996</v>
      </c>
      <c r="D66" s="14">
        <f>D63+D65</f>
        <v>1020.8300000000002</v>
      </c>
    </row>
  </sheetData>
  <sheetProtection/>
  <mergeCells count="1"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22" t="s">
        <v>167</v>
      </c>
      <c r="D2" s="22" t="s">
        <v>168</v>
      </c>
    </row>
    <row r="3" spans="1:4" ht="15.75" thickBot="1">
      <c r="A3" s="15"/>
      <c r="B3" s="15" t="s">
        <v>10</v>
      </c>
      <c r="C3" s="18">
        <f>C58</f>
        <v>159</v>
      </c>
      <c r="D3" s="18">
        <f>D58</f>
        <v>179236</v>
      </c>
    </row>
    <row r="4" spans="1:4" ht="23.25" thickBot="1">
      <c r="A4" s="13" t="s">
        <v>11</v>
      </c>
      <c r="B4" s="13" t="s">
        <v>12</v>
      </c>
      <c r="C4" s="14">
        <v>2864</v>
      </c>
      <c r="D4" s="14">
        <v>193442</v>
      </c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0</v>
      </c>
      <c r="D7" s="14">
        <f>SUM(D8:D11)</f>
        <v>0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2130</v>
      </c>
      <c r="D12" s="14">
        <f>SUM(D13:D14)</f>
        <v>8571</v>
      </c>
    </row>
    <row r="13" spans="1:4" ht="15.75" thickBot="1">
      <c r="A13" s="13" t="s">
        <v>28</v>
      </c>
      <c r="B13" s="13" t="s">
        <v>29</v>
      </c>
      <c r="C13" s="14">
        <v>2130</v>
      </c>
      <c r="D13" s="14">
        <v>8571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-300</v>
      </c>
      <c r="D15" s="14">
        <f>SUM(D16:D18)</f>
        <v>-1196</v>
      </c>
    </row>
    <row r="16" spans="1:4" ht="15.75" thickBot="1">
      <c r="A16" s="13" t="s">
        <v>33</v>
      </c>
      <c r="B16" s="13" t="s">
        <v>34</v>
      </c>
      <c r="C16" s="14">
        <v>-229</v>
      </c>
      <c r="D16" s="14">
        <v>-922</v>
      </c>
    </row>
    <row r="17" spans="1:4" ht="15.75" thickBot="1">
      <c r="A17" s="13" t="s">
        <v>35</v>
      </c>
      <c r="B17" s="13" t="s">
        <v>36</v>
      </c>
      <c r="C17" s="14">
        <v>-71</v>
      </c>
      <c r="D17" s="14">
        <v>-274</v>
      </c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-535</v>
      </c>
      <c r="D19" s="14">
        <f>SUM(D20:D23)</f>
        <v>-2156</v>
      </c>
    </row>
    <row r="20" spans="1:4" ht="34.5" thickBot="1">
      <c r="A20" s="13" t="s">
        <v>40</v>
      </c>
      <c r="B20" s="13" t="s">
        <v>41</v>
      </c>
      <c r="C20" s="14">
        <f>-86</f>
        <v>-86</v>
      </c>
      <c r="D20" s="14">
        <v>-343</v>
      </c>
    </row>
    <row r="21" spans="1:4" ht="15.75" thickBot="1">
      <c r="A21" s="13" t="s">
        <v>42</v>
      </c>
      <c r="B21" s="13" t="s">
        <v>43</v>
      </c>
      <c r="C21" s="14">
        <v>-449</v>
      </c>
      <c r="D21" s="14">
        <v>-1765</v>
      </c>
    </row>
    <row r="22" spans="1:4" ht="15.75" thickBot="1">
      <c r="A22" s="13" t="s">
        <v>44</v>
      </c>
      <c r="B22" s="13" t="s">
        <v>45</v>
      </c>
      <c r="C22" s="14">
        <v>0</v>
      </c>
      <c r="D22" s="14">
        <f>232-279</f>
        <v>-47</v>
      </c>
    </row>
    <row r="23" spans="1:4" ht="15.75" thickBot="1">
      <c r="A23" s="13" t="s">
        <v>46</v>
      </c>
      <c r="B23" s="13" t="s">
        <v>47</v>
      </c>
      <c r="C23" s="14">
        <v>0</v>
      </c>
      <c r="D23" s="14">
        <v>-1</v>
      </c>
    </row>
    <row r="24" spans="1:4" ht="15.75" thickBot="1">
      <c r="A24" s="13" t="s">
        <v>17</v>
      </c>
      <c r="B24" s="13" t="s">
        <v>48</v>
      </c>
      <c r="C24" s="14">
        <f>SUM(C25:C27)</f>
        <v>-1775</v>
      </c>
      <c r="D24" s="14">
        <f>SUM(D25:D27)</f>
        <v>-7099</v>
      </c>
    </row>
    <row r="25" spans="1:4" ht="15.75" thickBot="1">
      <c r="A25" s="13" t="s">
        <v>49</v>
      </c>
      <c r="B25" s="13" t="s">
        <v>50</v>
      </c>
      <c r="C25" s="14"/>
      <c r="D25" s="14"/>
    </row>
    <row r="26" spans="1:4" ht="15.75" thickBot="1">
      <c r="A26" s="13" t="s">
        <v>51</v>
      </c>
      <c r="B26" s="13" t="s">
        <v>52</v>
      </c>
      <c r="C26" s="14"/>
      <c r="D26" s="14"/>
    </row>
    <row r="27" spans="1:4" ht="15.75" thickBot="1">
      <c r="A27" s="13" t="s">
        <v>53</v>
      </c>
      <c r="B27" s="13" t="s">
        <v>54</v>
      </c>
      <c r="C27" s="14">
        <v>-1775</v>
      </c>
      <c r="D27" s="14">
        <v>-7099</v>
      </c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>
        <v>114</v>
      </c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>
        <v>0</v>
      </c>
      <c r="D37" s="14">
        <v>0</v>
      </c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-2721</v>
      </c>
    </row>
    <row r="41" spans="1:4" ht="15.75" thickBot="1">
      <c r="A41" s="13" t="s">
        <v>73</v>
      </c>
      <c r="B41" s="13" t="s">
        <v>74</v>
      </c>
      <c r="C41" s="14">
        <v>0</v>
      </c>
      <c r="D41" s="14">
        <v>-2721</v>
      </c>
    </row>
    <row r="42" spans="1:4" ht="15.75" thickBot="1">
      <c r="A42" s="13" t="s">
        <v>75</v>
      </c>
      <c r="B42" s="13" t="s">
        <v>76</v>
      </c>
      <c r="C42" s="14">
        <v>0</v>
      </c>
      <c r="D42" s="14">
        <v>0</v>
      </c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2384</v>
      </c>
      <c r="D43" s="12">
        <f>D4+D5+D6+D7+D12+D15+D19+D24+D28+D29+D30+D39+D40</f>
        <v>188955</v>
      </c>
    </row>
    <row r="44" spans="1:4" ht="15.75" thickBot="1">
      <c r="A44" s="13" t="s">
        <v>17</v>
      </c>
      <c r="B44" s="13" t="s">
        <v>78</v>
      </c>
      <c r="C44" s="14">
        <f>SUM(C45:C46)</f>
        <v>10</v>
      </c>
      <c r="D44" s="14">
        <f>SUM(D45:D46)</f>
        <v>39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>
        <v>10</v>
      </c>
      <c r="D46" s="14">
        <v>39</v>
      </c>
    </row>
    <row r="47" spans="1:4" ht="15.75" thickBot="1">
      <c r="A47" s="13" t="s">
        <v>17</v>
      </c>
      <c r="B47" s="13" t="s">
        <v>83</v>
      </c>
      <c r="C47" s="14">
        <f>SUM(C48:C50)</f>
        <v>-2142</v>
      </c>
      <c r="D47" s="14">
        <f>SUM(D48:D50)</f>
        <v>-9386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>
        <v>-2142</v>
      </c>
      <c r="D49" s="14">
        <v>-9386</v>
      </c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-2132</v>
      </c>
      <c r="D55" s="12">
        <f>D44+D47+D51+D52+D53+D54</f>
        <v>-9347</v>
      </c>
    </row>
    <row r="56" spans="1:4" ht="15.75" thickBot="1">
      <c r="A56" s="11" t="s">
        <v>17</v>
      </c>
      <c r="B56" s="11" t="s">
        <v>98</v>
      </c>
      <c r="C56" s="12">
        <f>C43+C55</f>
        <v>252</v>
      </c>
      <c r="D56" s="12">
        <f>D43+D55</f>
        <v>179608</v>
      </c>
    </row>
    <row r="57" spans="1:4" ht="15.75" thickBot="1">
      <c r="A57" s="13" t="s">
        <v>99</v>
      </c>
      <c r="B57" s="13" t="s">
        <v>100</v>
      </c>
      <c r="C57" s="14">
        <v>-93</v>
      </c>
      <c r="D57" s="14">
        <v>-372</v>
      </c>
    </row>
    <row r="58" spans="1:4" ht="23.25" thickBot="1">
      <c r="A58" s="11" t="s">
        <v>17</v>
      </c>
      <c r="B58" s="11" t="s">
        <v>101</v>
      </c>
      <c r="C58" s="12">
        <f>C56+C57</f>
        <v>159</v>
      </c>
      <c r="D58" s="12">
        <f>D56+D57</f>
        <v>179236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159</v>
      </c>
      <c r="D61" s="14">
        <f>D58+D60</f>
        <v>179236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8.7109375" style="23" customWidth="1"/>
    <col min="4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6.25" thickBot="1">
      <c r="A2" s="15"/>
      <c r="B2" s="17" t="s">
        <v>8</v>
      </c>
      <c r="C2" s="24" t="s">
        <v>165</v>
      </c>
      <c r="D2" s="10" t="s">
        <v>166</v>
      </c>
    </row>
    <row r="3" spans="1:4" ht="15.75" thickBot="1">
      <c r="A3" s="15"/>
      <c r="B3" s="15" t="s">
        <v>10</v>
      </c>
      <c r="C3" s="43">
        <f>C58</f>
        <v>31155521.479999986</v>
      </c>
      <c r="D3" s="43">
        <f>D58</f>
        <v>232693003.48000008</v>
      </c>
    </row>
    <row r="4" spans="1:4" ht="23.25" thickBot="1">
      <c r="A4" s="13" t="s">
        <v>11</v>
      </c>
      <c r="B4" s="13" t="s">
        <v>12</v>
      </c>
      <c r="C4" s="44">
        <v>183080817.21</v>
      </c>
      <c r="D4" s="44">
        <v>866778911.98</v>
      </c>
    </row>
    <row r="5" spans="1:4" ht="15.75" thickBot="1">
      <c r="A5" s="13" t="s">
        <v>13</v>
      </c>
      <c r="B5" s="13" t="s">
        <v>14</v>
      </c>
      <c r="C5" s="44"/>
      <c r="D5" s="44"/>
    </row>
    <row r="6" spans="1:4" ht="15.75" thickBot="1">
      <c r="A6" s="13" t="s">
        <v>15</v>
      </c>
      <c r="B6" s="13" t="s">
        <v>16</v>
      </c>
      <c r="C6" s="44">
        <v>813490.41</v>
      </c>
      <c r="D6" s="44">
        <v>5000344.69</v>
      </c>
    </row>
    <row r="7" spans="1:4" ht="15.75" thickBot="1">
      <c r="A7" s="13" t="s">
        <v>17</v>
      </c>
      <c r="B7" s="13" t="s">
        <v>18</v>
      </c>
      <c r="C7" s="44">
        <f>SUM(C8:C11)</f>
        <v>-46973936.59</v>
      </c>
      <c r="D7" s="44">
        <f>SUM(D8:D11)</f>
        <v>-197654861.57000002</v>
      </c>
    </row>
    <row r="8" spans="1:4" ht="15.75" thickBot="1">
      <c r="A8" s="13" t="s">
        <v>19</v>
      </c>
      <c r="B8" s="13" t="s">
        <v>20</v>
      </c>
      <c r="C8" s="44">
        <v>-797058.49</v>
      </c>
      <c r="D8" s="44">
        <v>-4176444.04</v>
      </c>
    </row>
    <row r="9" spans="1:4" ht="34.5" thickBot="1">
      <c r="A9" s="13" t="s">
        <v>21</v>
      </c>
      <c r="B9" s="13" t="s">
        <v>22</v>
      </c>
      <c r="C9" s="44">
        <v>-14989104.360000001</v>
      </c>
      <c r="D9" s="44">
        <v>-64984218.89</v>
      </c>
    </row>
    <row r="10" spans="1:4" ht="15.75" thickBot="1">
      <c r="A10" s="13" t="s">
        <v>23</v>
      </c>
      <c r="B10" s="13" t="s">
        <v>24</v>
      </c>
      <c r="C10" s="44">
        <v>-31187773.74</v>
      </c>
      <c r="D10" s="44">
        <v>-128494731.98</v>
      </c>
    </row>
    <row r="11" spans="1:4" ht="23.25" thickBot="1">
      <c r="A11" s="13" t="s">
        <v>25</v>
      </c>
      <c r="B11" s="13" t="s">
        <v>26</v>
      </c>
      <c r="C11" s="44"/>
      <c r="D11" s="44">
        <v>533.34</v>
      </c>
    </row>
    <row r="12" spans="1:4" ht="15.75" thickBot="1">
      <c r="A12" s="13" t="s">
        <v>17</v>
      </c>
      <c r="B12" s="13" t="s">
        <v>27</v>
      </c>
      <c r="C12" s="44">
        <f>SUM(C13:C14)</f>
        <v>10820400.950000001</v>
      </c>
      <c r="D12" s="44">
        <f>SUM(D13:D14)</f>
        <v>30838992.73</v>
      </c>
    </row>
    <row r="13" spans="1:4" ht="15.75" thickBot="1">
      <c r="A13" s="13" t="s">
        <v>28</v>
      </c>
      <c r="B13" s="13" t="s">
        <v>29</v>
      </c>
      <c r="C13" s="44">
        <v>10803811.38</v>
      </c>
      <c r="D13" s="44">
        <v>30546398.89</v>
      </c>
    </row>
    <row r="14" spans="1:4" ht="15.75" thickBot="1">
      <c r="A14" s="13" t="s">
        <v>30</v>
      </c>
      <c r="B14" s="13" t="s">
        <v>31</v>
      </c>
      <c r="C14" s="44">
        <v>16589.57</v>
      </c>
      <c r="D14" s="44">
        <v>292593.84</v>
      </c>
    </row>
    <row r="15" spans="1:4" ht="15.75" thickBot="1">
      <c r="A15" s="13" t="s">
        <v>17</v>
      </c>
      <c r="B15" s="13" t="s">
        <v>32</v>
      </c>
      <c r="C15" s="44">
        <f>SUM(C16:C18)</f>
        <v>-29245487.700000003</v>
      </c>
      <c r="D15" s="44">
        <f>SUM(D16:D18)</f>
        <v>-113945692.76</v>
      </c>
    </row>
    <row r="16" spans="1:4" ht="15.75" thickBot="1">
      <c r="A16" s="13" t="s">
        <v>33</v>
      </c>
      <c r="B16" s="13" t="s">
        <v>34</v>
      </c>
      <c r="C16" s="44">
        <v>-21798889.57</v>
      </c>
      <c r="D16" s="44">
        <v>-84643576.72</v>
      </c>
    </row>
    <row r="17" spans="1:4" ht="15.75" thickBot="1">
      <c r="A17" s="13" t="s">
        <v>35</v>
      </c>
      <c r="B17" s="13" t="s">
        <v>36</v>
      </c>
      <c r="C17" s="44">
        <v>-7442102.03</v>
      </c>
      <c r="D17" s="44">
        <v>-29240045.01</v>
      </c>
    </row>
    <row r="18" spans="1:4" ht="15.75" thickBot="1">
      <c r="A18" s="13" t="s">
        <v>37</v>
      </c>
      <c r="B18" s="13" t="s">
        <v>38</v>
      </c>
      <c r="C18" s="44">
        <v>-4496.1</v>
      </c>
      <c r="D18" s="44">
        <v>-62071.03</v>
      </c>
    </row>
    <row r="19" spans="1:4" ht="15.75" thickBot="1">
      <c r="A19" s="13" t="s">
        <v>17</v>
      </c>
      <c r="B19" s="13" t="s">
        <v>39</v>
      </c>
      <c r="C19" s="44">
        <f>SUM(C20:C23)</f>
        <v>-60673232.779999994</v>
      </c>
      <c r="D19" s="44">
        <f>SUM(D20:D23)</f>
        <v>-256008903.86999997</v>
      </c>
    </row>
    <row r="20" spans="1:4" ht="34.5" thickBot="1">
      <c r="A20" s="13" t="s">
        <v>40</v>
      </c>
      <c r="B20" s="13" t="s">
        <v>41</v>
      </c>
      <c r="C20" s="44">
        <v>-22438106.119999997</v>
      </c>
      <c r="D20" s="44">
        <v>-98657307.19</v>
      </c>
    </row>
    <row r="21" spans="1:4" ht="15.75" thickBot="1">
      <c r="A21" s="13" t="s">
        <v>42</v>
      </c>
      <c r="B21" s="13" t="s">
        <v>43</v>
      </c>
      <c r="C21" s="44">
        <v>-6316720.59</v>
      </c>
      <c r="D21" s="44">
        <v>-27715033.3</v>
      </c>
    </row>
    <row r="22" spans="1:4" ht="15.75" thickBot="1">
      <c r="A22" s="13" t="s">
        <v>44</v>
      </c>
      <c r="B22" s="13" t="s">
        <v>45</v>
      </c>
      <c r="C22" s="44">
        <v>-29604798.72</v>
      </c>
      <c r="D22" s="44">
        <v>-120752964.15</v>
      </c>
    </row>
    <row r="23" spans="1:4" ht="15.75" thickBot="1">
      <c r="A23" s="13" t="s">
        <v>46</v>
      </c>
      <c r="B23" s="13" t="s">
        <v>47</v>
      </c>
      <c r="C23" s="44">
        <v>-2313607.35</v>
      </c>
      <c r="D23" s="44">
        <v>-8883599.23</v>
      </c>
    </row>
    <row r="24" spans="1:4" ht="15.75" thickBot="1">
      <c r="A24" s="13" t="s">
        <v>17</v>
      </c>
      <c r="B24" s="13" t="s">
        <v>48</v>
      </c>
      <c r="C24" s="44">
        <f>SUM(C25:C27)</f>
        <v>-27314015.930000003</v>
      </c>
      <c r="D24" s="44">
        <f>SUM(D25:D27)</f>
        <v>-109766915.25</v>
      </c>
    </row>
    <row r="25" spans="1:4" ht="15.75" thickBot="1">
      <c r="A25" s="13" t="s">
        <v>49</v>
      </c>
      <c r="B25" s="13" t="s">
        <v>50</v>
      </c>
      <c r="C25" s="44">
        <f>-27049550.16-178694.76</f>
        <v>-27228244.92</v>
      </c>
      <c r="D25" s="44">
        <v>-108462376.55</v>
      </c>
    </row>
    <row r="26" spans="1:4" ht="15.75" thickBot="1">
      <c r="A26" s="13" t="s">
        <v>51</v>
      </c>
      <c r="B26" s="13" t="s">
        <v>52</v>
      </c>
      <c r="C26" s="44">
        <v>-35209.32</v>
      </c>
      <c r="D26" s="44">
        <v>-157427.23</v>
      </c>
    </row>
    <row r="27" spans="1:4" ht="15.75" thickBot="1">
      <c r="A27" s="13" t="s">
        <v>53</v>
      </c>
      <c r="B27" s="13" t="s">
        <v>54</v>
      </c>
      <c r="C27" s="44">
        <v>-50561.69</v>
      </c>
      <c r="D27" s="44">
        <v>-1147111.47</v>
      </c>
    </row>
    <row r="28" spans="1:4" ht="15.75" thickBot="1">
      <c r="A28" s="13" t="s">
        <v>17</v>
      </c>
      <c r="B28" s="13" t="s">
        <v>55</v>
      </c>
      <c r="C28" s="44">
        <v>3581275.49</v>
      </c>
      <c r="D28" s="44">
        <v>14657481.68</v>
      </c>
    </row>
    <row r="29" spans="1:4" ht="15.75" thickBot="1">
      <c r="A29" s="13" t="s">
        <v>56</v>
      </c>
      <c r="B29" s="13" t="s">
        <v>57</v>
      </c>
      <c r="C29" s="44">
        <v>178581.26</v>
      </c>
      <c r="D29" s="44">
        <v>2326349.12</v>
      </c>
    </row>
    <row r="30" spans="1:4" ht="15.75" thickBot="1">
      <c r="A30" s="13" t="s">
        <v>17</v>
      </c>
      <c r="B30" s="13" t="s">
        <v>58</v>
      </c>
      <c r="C30" s="44">
        <f>C31+C35</f>
        <v>-163577.44</v>
      </c>
      <c r="D30" s="44">
        <f>D31+D35</f>
        <v>-5332816.01</v>
      </c>
    </row>
    <row r="31" spans="1:4" ht="15.75" thickBot="1">
      <c r="A31" s="13" t="s">
        <v>17</v>
      </c>
      <c r="B31" s="13" t="s">
        <v>59</v>
      </c>
      <c r="C31" s="44">
        <f>SUM(C32:C34)</f>
        <v>0</v>
      </c>
      <c r="D31" s="44">
        <f>SUM(D32:D34)</f>
        <v>-4577479.96</v>
      </c>
    </row>
    <row r="32" spans="1:4" ht="15.75" thickBot="1">
      <c r="A32" s="13" t="s">
        <v>60</v>
      </c>
      <c r="B32" s="13" t="s">
        <v>61</v>
      </c>
      <c r="C32" s="44"/>
      <c r="D32" s="44"/>
    </row>
    <row r="33" spans="1:4" ht="15.75" thickBot="1">
      <c r="A33" s="13" t="s">
        <v>62</v>
      </c>
      <c r="B33" s="13" t="s">
        <v>63</v>
      </c>
      <c r="C33" s="44"/>
      <c r="D33" s="44">
        <v>57891.34</v>
      </c>
    </row>
    <row r="34" spans="1:4" ht="15.75" thickBot="1">
      <c r="A34" s="13" t="s">
        <v>64</v>
      </c>
      <c r="B34" s="13" t="s">
        <v>65</v>
      </c>
      <c r="C34" s="44"/>
      <c r="D34" s="44">
        <v>-4635371.3</v>
      </c>
    </row>
    <row r="35" spans="1:4" ht="15.75" thickBot="1">
      <c r="A35" s="13" t="s">
        <v>17</v>
      </c>
      <c r="B35" s="13" t="s">
        <v>66</v>
      </c>
      <c r="C35" s="44">
        <f>SUM(C36:C38)</f>
        <v>-163577.44</v>
      </c>
      <c r="D35" s="44">
        <f>SUM(D36:D38)</f>
        <v>-755336.05</v>
      </c>
    </row>
    <row r="36" spans="1:4" ht="15.75" thickBot="1">
      <c r="A36" s="13" t="s">
        <v>67</v>
      </c>
      <c r="B36" s="13" t="s">
        <v>61</v>
      </c>
      <c r="C36" s="44">
        <v>-163577.44</v>
      </c>
      <c r="D36" s="44">
        <v>-1199344.6</v>
      </c>
    </row>
    <row r="37" spans="1:4" ht="15.75" thickBot="1">
      <c r="A37" s="13" t="s">
        <v>68</v>
      </c>
      <c r="B37" s="13" t="s">
        <v>63</v>
      </c>
      <c r="C37" s="44"/>
      <c r="D37" s="44"/>
    </row>
    <row r="38" spans="1:4" ht="15.75" thickBot="1">
      <c r="A38" s="13" t="s">
        <v>69</v>
      </c>
      <c r="B38" s="13" t="s">
        <v>65</v>
      </c>
      <c r="C38" s="44"/>
      <c r="D38" s="44">
        <v>444008.55</v>
      </c>
    </row>
    <row r="39" spans="1:4" ht="15.75" thickBot="1">
      <c r="A39" s="13" t="s">
        <v>70</v>
      </c>
      <c r="B39" s="13" t="s">
        <v>71</v>
      </c>
      <c r="C39" s="44"/>
      <c r="D39" s="44"/>
    </row>
    <row r="40" spans="1:4" ht="15.75" thickBot="1">
      <c r="A40" s="13" t="s">
        <v>70</v>
      </c>
      <c r="B40" s="13" t="s">
        <v>72</v>
      </c>
      <c r="C40" s="44">
        <f>SUM(C41:C42)</f>
        <v>0</v>
      </c>
      <c r="D40" s="44">
        <f>SUM(D41:D42)</f>
        <v>0</v>
      </c>
    </row>
    <row r="41" spans="1:4" ht="15.75" thickBot="1">
      <c r="A41" s="13" t="s">
        <v>73</v>
      </c>
      <c r="B41" s="13" t="s">
        <v>74</v>
      </c>
      <c r="C41" s="44"/>
      <c r="D41" s="44"/>
    </row>
    <row r="42" spans="1:4" ht="15.75" thickBot="1">
      <c r="A42" s="13" t="s">
        <v>75</v>
      </c>
      <c r="B42" s="13" t="s">
        <v>76</v>
      </c>
      <c r="C42" s="44"/>
      <c r="D42" s="44"/>
    </row>
    <row r="43" spans="1:4" ht="15.75" thickBot="1">
      <c r="A43" s="11" t="s">
        <v>17</v>
      </c>
      <c r="B43" s="11" t="s">
        <v>77</v>
      </c>
      <c r="C43" s="45">
        <f>C4+C5+C6+C7+C12+C15+C19+C24+C28+C29+C30+C39+C40</f>
        <v>34104314.87999999</v>
      </c>
      <c r="D43" s="45">
        <f>D4+D5+D6+D7+D12+D15+D19+D24+D28+D29+D30+D39+D40</f>
        <v>236892890.74000007</v>
      </c>
    </row>
    <row r="44" spans="1:4" ht="15.75" thickBot="1">
      <c r="A44" s="13" t="s">
        <v>17</v>
      </c>
      <c r="B44" s="13" t="s">
        <v>78</v>
      </c>
      <c r="C44" s="44">
        <f>SUM(C45:C46)</f>
        <v>2442187.6799999997</v>
      </c>
      <c r="D44" s="44">
        <f>SUM(D45:D46)</f>
        <v>12758436.9</v>
      </c>
    </row>
    <row r="45" spans="1:4" ht="15.75" thickBot="1">
      <c r="A45" s="13" t="s">
        <v>79</v>
      </c>
      <c r="B45" s="13" t="s">
        <v>80</v>
      </c>
      <c r="C45" s="44"/>
      <c r="D45" s="44"/>
    </row>
    <row r="46" spans="1:4" ht="15.75" thickBot="1">
      <c r="A46" s="13" t="s">
        <v>81</v>
      </c>
      <c r="B46" s="13" t="s">
        <v>82</v>
      </c>
      <c r="C46" s="44">
        <v>2442187.6799999997</v>
      </c>
      <c r="D46" s="44">
        <v>12758436.9</v>
      </c>
    </row>
    <row r="47" spans="1:4" ht="15.75" thickBot="1">
      <c r="A47" s="13" t="s">
        <v>17</v>
      </c>
      <c r="B47" s="13" t="s">
        <v>83</v>
      </c>
      <c r="C47" s="44">
        <f>SUM(C48:C50)</f>
        <v>-5032603.88</v>
      </c>
      <c r="D47" s="44">
        <f>SUM(D48:D50)</f>
        <v>-23201475.45</v>
      </c>
    </row>
    <row r="48" spans="1:4" ht="45.75" thickBot="1">
      <c r="A48" s="13" t="s">
        <v>84</v>
      </c>
      <c r="B48" s="13" t="s">
        <v>85</v>
      </c>
      <c r="C48" s="44"/>
      <c r="D48" s="44"/>
    </row>
    <row r="49" spans="1:4" ht="57" thickBot="1">
      <c r="A49" s="13" t="s">
        <v>86</v>
      </c>
      <c r="B49" s="13" t="s">
        <v>87</v>
      </c>
      <c r="C49" s="44">
        <v>-4894246.6899999995</v>
      </c>
      <c r="D49" s="44">
        <v>-22706678.89</v>
      </c>
    </row>
    <row r="50" spans="1:4" ht="15.75" thickBot="1">
      <c r="A50" s="13" t="s">
        <v>88</v>
      </c>
      <c r="B50" s="13" t="s">
        <v>89</v>
      </c>
      <c r="C50" s="44">
        <v>-138357.19</v>
      </c>
      <c r="D50" s="44">
        <v>-494796.56</v>
      </c>
    </row>
    <row r="51" spans="1:4" ht="15.75" thickBot="1">
      <c r="A51" s="13" t="s">
        <v>90</v>
      </c>
      <c r="B51" s="13" t="s">
        <v>91</v>
      </c>
      <c r="C51" s="44"/>
      <c r="D51" s="44"/>
    </row>
    <row r="52" spans="1:4" ht="15.75" thickBot="1">
      <c r="A52" s="13" t="s">
        <v>92</v>
      </c>
      <c r="B52" s="13" t="s">
        <v>93</v>
      </c>
      <c r="C52" s="44">
        <v>-387.61</v>
      </c>
      <c r="D52" s="44">
        <v>-90.03</v>
      </c>
    </row>
    <row r="53" spans="1:4" ht="23.25" thickBot="1">
      <c r="A53" s="13" t="s">
        <v>94</v>
      </c>
      <c r="B53" s="13" t="s">
        <v>95</v>
      </c>
      <c r="C53" s="44">
        <v>8696.08</v>
      </c>
      <c r="D53" s="44">
        <v>-215486.99</v>
      </c>
    </row>
    <row r="54" spans="1:4" ht="15.75" thickBot="1">
      <c r="A54" s="13" t="s">
        <v>17</v>
      </c>
      <c r="B54" s="13" t="s">
        <v>96</v>
      </c>
      <c r="C54" s="44"/>
      <c r="D54" s="44"/>
    </row>
    <row r="55" spans="1:4" ht="15.75" thickBot="1">
      <c r="A55" s="11" t="s">
        <v>17</v>
      </c>
      <c r="B55" s="11" t="s">
        <v>97</v>
      </c>
      <c r="C55" s="45">
        <f>C44+C47+C51+C52+C53+C54</f>
        <v>-2582107.73</v>
      </c>
      <c r="D55" s="45">
        <f>D44+D47+D51+D52+D53+D54</f>
        <v>-10658615.569999998</v>
      </c>
    </row>
    <row r="56" spans="1:4" ht="15.75" thickBot="1">
      <c r="A56" s="11" t="s">
        <v>17</v>
      </c>
      <c r="B56" s="11" t="s">
        <v>98</v>
      </c>
      <c r="C56" s="45">
        <f>C43+C55</f>
        <v>31522207.149999987</v>
      </c>
      <c r="D56" s="45">
        <f>D43+D55</f>
        <v>226234275.17000008</v>
      </c>
    </row>
    <row r="57" spans="1:4" ht="15.75" thickBot="1">
      <c r="A57" s="13" t="s">
        <v>99</v>
      </c>
      <c r="B57" s="13" t="s">
        <v>100</v>
      </c>
      <c r="C57" s="44">
        <v>-366685.67</v>
      </c>
      <c r="D57" s="44">
        <v>6458728.31</v>
      </c>
    </row>
    <row r="58" spans="1:4" ht="23.25" thickBot="1">
      <c r="A58" s="11" t="s">
        <v>17</v>
      </c>
      <c r="B58" s="11" t="s">
        <v>101</v>
      </c>
      <c r="C58" s="45">
        <f>C56+C57</f>
        <v>31155521.479999986</v>
      </c>
      <c r="D58" s="45">
        <f>D56+D57</f>
        <v>232693003.48000008</v>
      </c>
    </row>
    <row r="59" spans="1:4" ht="15.75" thickBot="1">
      <c r="A59" s="15"/>
      <c r="B59" s="15" t="s">
        <v>102</v>
      </c>
      <c r="C59" s="43">
        <f>C60</f>
        <v>0</v>
      </c>
      <c r="D59" s="43">
        <f>D60</f>
        <v>0</v>
      </c>
    </row>
    <row r="60" spans="1:4" ht="15.75" thickBot="1">
      <c r="A60" s="13" t="s">
        <v>17</v>
      </c>
      <c r="B60" s="13" t="s">
        <v>103</v>
      </c>
      <c r="C60" s="44"/>
      <c r="D60" s="44"/>
    </row>
    <row r="61" spans="1:4" ht="15.75" thickBot="1">
      <c r="A61" s="13" t="s">
        <v>17</v>
      </c>
      <c r="B61" s="13" t="s">
        <v>104</v>
      </c>
      <c r="C61" s="44">
        <f>C58+C60</f>
        <v>31155521.479999986</v>
      </c>
      <c r="D61" s="44">
        <f>D58+D60</f>
        <v>232693003.48000008</v>
      </c>
    </row>
    <row r="63" ht="15">
      <c r="A63" s="1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24">
        <v>42795</v>
      </c>
      <c r="D2" s="24">
        <v>42705</v>
      </c>
    </row>
    <row r="3" spans="1:4" ht="15.75" thickBot="1">
      <c r="A3" s="15"/>
      <c r="B3" s="15" t="s">
        <v>10</v>
      </c>
      <c r="C3" s="18">
        <f>C58</f>
        <v>0</v>
      </c>
      <c r="D3" s="18">
        <f>D58</f>
        <v>0</v>
      </c>
    </row>
    <row r="4" spans="1:4" ht="23.25" thickBot="1">
      <c r="A4" s="13" t="s">
        <v>11</v>
      </c>
      <c r="B4" s="13" t="s">
        <v>12</v>
      </c>
      <c r="C4" s="14"/>
      <c r="D4" s="14"/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0</v>
      </c>
      <c r="D7" s="14">
        <f>SUM(D8:D11)</f>
        <v>0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0.25</v>
      </c>
      <c r="D12" s="14">
        <f>SUM(D13:D14)</f>
        <v>3.14334</v>
      </c>
    </row>
    <row r="13" spans="1:4" ht="15.75" thickBot="1">
      <c r="A13" s="13" t="s">
        <v>28</v>
      </c>
      <c r="B13" s="13" t="s">
        <v>29</v>
      </c>
      <c r="C13" s="14">
        <v>0.25</v>
      </c>
      <c r="D13" s="14">
        <v>3.14334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0</v>
      </c>
      <c r="D15" s="14">
        <f>SUM(D16:D18)</f>
        <v>0</v>
      </c>
    </row>
    <row r="16" spans="1:4" ht="15.75" thickBot="1">
      <c r="A16" s="13" t="s">
        <v>33</v>
      </c>
      <c r="B16" s="13" t="s">
        <v>34</v>
      </c>
      <c r="C16" s="14"/>
      <c r="D16" s="14"/>
    </row>
    <row r="17" spans="1:4" ht="15.75" thickBot="1">
      <c r="A17" s="13" t="s">
        <v>35</v>
      </c>
      <c r="B17" s="13" t="s">
        <v>36</v>
      </c>
      <c r="C17" s="14"/>
      <c r="D17" s="14"/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-0.25</v>
      </c>
      <c r="D19" s="14">
        <f>SUM(D20:D23)</f>
        <v>-3.14334</v>
      </c>
    </row>
    <row r="20" spans="1:4" ht="34.5" thickBot="1">
      <c r="A20" s="13" t="s">
        <v>40</v>
      </c>
      <c r="B20" s="13" t="s">
        <v>41</v>
      </c>
      <c r="C20" s="14">
        <v>-0.25</v>
      </c>
      <c r="D20" s="14">
        <v>-1.9940699999999998</v>
      </c>
    </row>
    <row r="21" spans="1:4" ht="15.75" thickBot="1">
      <c r="A21" s="13" t="s">
        <v>42</v>
      </c>
      <c r="B21" s="13" t="s">
        <v>43</v>
      </c>
      <c r="C21" s="14"/>
      <c r="D21" s="14">
        <v>-1.14927</v>
      </c>
    </row>
    <row r="22" spans="1:4" ht="15.75" thickBot="1">
      <c r="A22" s="13" t="s">
        <v>44</v>
      </c>
      <c r="B22" s="13" t="s">
        <v>45</v>
      </c>
      <c r="C22" s="14"/>
      <c r="D22" s="14"/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49</v>
      </c>
      <c r="B25" s="13" t="s">
        <v>50</v>
      </c>
      <c r="C25" s="14"/>
      <c r="D25" s="14"/>
    </row>
    <row r="26" spans="1:4" ht="15.75" thickBot="1">
      <c r="A26" s="13" t="s">
        <v>51</v>
      </c>
      <c r="B26" s="13" t="s">
        <v>52</v>
      </c>
      <c r="C26" s="14"/>
      <c r="D26" s="14"/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0</v>
      </c>
      <c r="D43" s="12">
        <f>D4+D5+D6+D7+D12+D15+D19+D24+D28+D29+D30+D39+D40</f>
        <v>0</v>
      </c>
    </row>
    <row r="44" spans="1:4" ht="15.75" thickBot="1">
      <c r="A44" s="13" t="s">
        <v>17</v>
      </c>
      <c r="B44" s="13" t="s">
        <v>78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/>
      <c r="D46" s="14"/>
    </row>
    <row r="47" spans="1:4" ht="15.75" thickBot="1">
      <c r="A47" s="13" t="s">
        <v>17</v>
      </c>
      <c r="B47" s="13" t="s">
        <v>83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0</v>
      </c>
      <c r="D55" s="12">
        <f>D44+D47+D51+D52+D53+D54</f>
        <v>0</v>
      </c>
    </row>
    <row r="56" spans="1:4" ht="15.75" thickBot="1">
      <c r="A56" s="11" t="s">
        <v>17</v>
      </c>
      <c r="B56" s="11" t="s">
        <v>98</v>
      </c>
      <c r="C56" s="12">
        <f>C43+C55</f>
        <v>0</v>
      </c>
      <c r="D56" s="12">
        <f>D43+D55</f>
        <v>0</v>
      </c>
    </row>
    <row r="57" spans="1:4" ht="15.75" thickBot="1">
      <c r="A57" s="13" t="s">
        <v>99</v>
      </c>
      <c r="B57" s="13" t="s">
        <v>100</v>
      </c>
      <c r="C57" s="14">
        <v>0</v>
      </c>
      <c r="D57" s="14">
        <v>0</v>
      </c>
    </row>
    <row r="58" spans="1:4" ht="23.25" thickBot="1">
      <c r="A58" s="11" t="s">
        <v>17</v>
      </c>
      <c r="B58" s="11" t="s">
        <v>101</v>
      </c>
      <c r="C58" s="12">
        <f>C56+C57</f>
        <v>0</v>
      </c>
      <c r="D58" s="12">
        <f>D56+D57</f>
        <v>0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0</v>
      </c>
      <c r="D61" s="14">
        <f>D58+D60</f>
        <v>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24">
        <v>42795</v>
      </c>
      <c r="D2" s="24">
        <v>42705</v>
      </c>
    </row>
    <row r="3" spans="1:4" ht="15.75" thickBot="1">
      <c r="A3" s="15"/>
      <c r="B3" s="15" t="s">
        <v>10</v>
      </c>
      <c r="C3" s="18">
        <f>C58</f>
        <v>0</v>
      </c>
      <c r="D3" s="18">
        <f>D58</f>
        <v>-2.220446049250313E-16</v>
      </c>
    </row>
    <row r="4" spans="1:4" ht="23.25" thickBot="1">
      <c r="A4" s="13" t="s">
        <v>11</v>
      </c>
      <c r="B4" s="13" t="s">
        <v>12</v>
      </c>
      <c r="C4" s="14"/>
      <c r="D4" s="14"/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0</v>
      </c>
      <c r="D7" s="14">
        <f>SUM(D8:D11)</f>
        <v>0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0.25</v>
      </c>
      <c r="D12" s="14">
        <f>SUM(D13:D14)</f>
        <v>1.45999</v>
      </c>
    </row>
    <row r="13" spans="1:4" ht="15.75" thickBot="1">
      <c r="A13" s="13" t="s">
        <v>28</v>
      </c>
      <c r="B13" s="13" t="s">
        <v>29</v>
      </c>
      <c r="C13" s="14">
        <v>0.25</v>
      </c>
      <c r="D13" s="14">
        <v>1.45999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0</v>
      </c>
      <c r="D15" s="14">
        <f>SUM(D16:D18)</f>
        <v>0</v>
      </c>
    </row>
    <row r="16" spans="1:4" ht="15.75" thickBot="1">
      <c r="A16" s="13" t="s">
        <v>33</v>
      </c>
      <c r="B16" s="13" t="s">
        <v>34</v>
      </c>
      <c r="C16" s="14"/>
      <c r="D16" s="14"/>
    </row>
    <row r="17" spans="1:4" ht="15.75" thickBot="1">
      <c r="A17" s="13" t="s">
        <v>35</v>
      </c>
      <c r="B17" s="13" t="s">
        <v>36</v>
      </c>
      <c r="C17" s="14"/>
      <c r="D17" s="14"/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-0.25</v>
      </c>
      <c r="D19" s="14">
        <f>SUM(D20:D23)</f>
        <v>-1.4599900000000001</v>
      </c>
    </row>
    <row r="20" spans="1:4" ht="34.5" thickBot="1">
      <c r="A20" s="13" t="s">
        <v>40</v>
      </c>
      <c r="B20" s="13" t="s">
        <v>41</v>
      </c>
      <c r="C20" s="14">
        <v>-0.25</v>
      </c>
      <c r="D20" s="14">
        <v>-1.40961</v>
      </c>
    </row>
    <row r="21" spans="1:4" ht="15.75" thickBot="1">
      <c r="A21" s="13" t="s">
        <v>42</v>
      </c>
      <c r="B21" s="13" t="s">
        <v>43</v>
      </c>
      <c r="C21" s="14"/>
      <c r="D21" s="14">
        <v>-0.05038</v>
      </c>
    </row>
    <row r="22" spans="1:4" ht="15.75" thickBot="1">
      <c r="A22" s="13" t="s">
        <v>44</v>
      </c>
      <c r="B22" s="13" t="s">
        <v>45</v>
      </c>
      <c r="C22" s="14"/>
      <c r="D22" s="14"/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49</v>
      </c>
      <c r="B25" s="13" t="s">
        <v>50</v>
      </c>
      <c r="C25" s="14"/>
      <c r="D25" s="14"/>
    </row>
    <row r="26" spans="1:4" ht="15.75" thickBot="1">
      <c r="A26" s="13" t="s">
        <v>51</v>
      </c>
      <c r="B26" s="13" t="s">
        <v>52</v>
      </c>
      <c r="C26" s="14"/>
      <c r="D26" s="14"/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0</v>
      </c>
      <c r="D43" s="12">
        <f>D4+D5+D6+D7+D12+D15+D19+D24+D28+D29+D30+D39+D40</f>
        <v>-2.220446049250313E-16</v>
      </c>
    </row>
    <row r="44" spans="1:4" ht="15.75" thickBot="1">
      <c r="A44" s="13" t="s">
        <v>17</v>
      </c>
      <c r="B44" s="13" t="s">
        <v>78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/>
      <c r="D46" s="14"/>
    </row>
    <row r="47" spans="1:4" ht="15.75" thickBot="1">
      <c r="A47" s="13" t="s">
        <v>17</v>
      </c>
      <c r="B47" s="13" t="s">
        <v>83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0</v>
      </c>
      <c r="D55" s="12">
        <f>D44+D47+D51+D52+D53+D54</f>
        <v>0</v>
      </c>
    </row>
    <row r="56" spans="1:4" ht="15.75" thickBot="1">
      <c r="A56" s="11" t="s">
        <v>17</v>
      </c>
      <c r="B56" s="11" t="s">
        <v>98</v>
      </c>
      <c r="C56" s="12">
        <f>C43+C55</f>
        <v>0</v>
      </c>
      <c r="D56" s="12">
        <f>D43+D55</f>
        <v>-2.220446049250313E-16</v>
      </c>
    </row>
    <row r="57" spans="1:4" ht="15.75" thickBot="1">
      <c r="A57" s="13" t="s">
        <v>99</v>
      </c>
      <c r="B57" s="13" t="s">
        <v>100</v>
      </c>
      <c r="C57" s="14"/>
      <c r="D57" s="14"/>
    </row>
    <row r="58" spans="1:4" ht="23.25" thickBot="1">
      <c r="A58" s="11" t="s">
        <v>17</v>
      </c>
      <c r="B58" s="11" t="s">
        <v>101</v>
      </c>
      <c r="C58" s="12">
        <f>C56+C57</f>
        <v>0</v>
      </c>
      <c r="D58" s="12">
        <f>D56+D57</f>
        <v>-2.220446049250313E-16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0</v>
      </c>
      <c r="D61" s="14">
        <f>D58+D60</f>
        <v>-2.220446049250313E-16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B70" sqref="B70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39.75" customHeight="1" thickBot="1">
      <c r="A1" s="51" t="s">
        <v>5</v>
      </c>
      <c r="B1" s="51"/>
      <c r="C1" s="51"/>
      <c r="D1" s="51"/>
    </row>
    <row r="2" spans="1:4" ht="19.5" customHeight="1" thickBot="1">
      <c r="A2" s="15"/>
      <c r="B2" s="17" t="s">
        <v>8</v>
      </c>
      <c r="C2" s="42">
        <f>'[1]D1'!C3</f>
        <v>42795</v>
      </c>
      <c r="D2" s="42">
        <f>'[1]D1'!D3</f>
        <v>42705</v>
      </c>
    </row>
    <row r="3" spans="1:4" ht="19.5" customHeight="1" thickBot="1">
      <c r="A3" s="15"/>
      <c r="B3" s="15" t="s">
        <v>10</v>
      </c>
      <c r="C3" s="18">
        <f>C58</f>
        <v>217.5162999999999</v>
      </c>
      <c r="D3" s="18">
        <f>D58</f>
        <v>1000.1629900000004</v>
      </c>
    </row>
    <row r="4" spans="1:4" ht="19.5" customHeight="1" thickBot="1">
      <c r="A4" s="13" t="s">
        <v>11</v>
      </c>
      <c r="B4" s="13" t="s">
        <v>12</v>
      </c>
      <c r="C4" s="14">
        <f>1158056.41/1000</f>
        <v>1158.05641</v>
      </c>
      <c r="D4" s="14">
        <f>4651245.4/1000</f>
        <v>4651.245400000001</v>
      </c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-107.81859999999999</v>
      </c>
      <c r="D7" s="14">
        <f>SUM(D8:D11)</f>
        <v>-521.68577</v>
      </c>
    </row>
    <row r="8" spans="1:4" ht="15.75" thickBot="1">
      <c r="A8" s="13" t="s">
        <v>19</v>
      </c>
      <c r="B8" s="13" t="s">
        <v>20</v>
      </c>
      <c r="C8" s="14">
        <f>-28134.31/1000</f>
        <v>-28.134310000000003</v>
      </c>
      <c r="D8" s="14">
        <f>-70273.96/1000</f>
        <v>-70.27396</v>
      </c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>
        <f>-79684.29/1000</f>
        <v>-79.68428999999999</v>
      </c>
      <c r="D10" s="14">
        <f>-451411.81/1000</f>
        <v>-451.41181</v>
      </c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2.91545</v>
      </c>
      <c r="D12" s="14">
        <f>SUM(D13:D14)</f>
        <v>40.4288</v>
      </c>
    </row>
    <row r="13" spans="1:4" ht="15.75" thickBot="1">
      <c r="A13" s="13" t="s">
        <v>28</v>
      </c>
      <c r="B13" s="13" t="s">
        <v>29</v>
      </c>
      <c r="C13" s="14">
        <f>2915.45/1000</f>
        <v>2.91545</v>
      </c>
      <c r="D13" s="14">
        <f>40428.8/1000</f>
        <v>40.4288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-625.67351</v>
      </c>
      <c r="D15" s="14">
        <f>SUM(D16:D18)</f>
        <v>-2368.07656</v>
      </c>
    </row>
    <row r="16" spans="1:4" ht="15.75" thickBot="1">
      <c r="A16" s="13" t="s">
        <v>33</v>
      </c>
      <c r="B16" s="13" t="s">
        <v>34</v>
      </c>
      <c r="C16" s="14">
        <f>(-579142.27+100535.22-13000-621+0.33-1217.86-1193)/1000</f>
        <v>-494.63858</v>
      </c>
      <c r="D16" s="14">
        <f>(-1677156.93-147677.56+1.54)/1000</f>
        <v>-1824.83295</v>
      </c>
    </row>
    <row r="17" spans="1:4" ht="15.75" thickBot="1">
      <c r="A17" s="13" t="s">
        <v>35</v>
      </c>
      <c r="B17" s="13" t="s">
        <v>36</v>
      </c>
      <c r="C17" s="14">
        <f>(-130645.55/1000)+(-335.38-54)/1000</f>
        <v>-131.03493</v>
      </c>
      <c r="D17" s="14">
        <f>(-506743.51-34091.32-2408.78)/1000</f>
        <v>-543.24361</v>
      </c>
    </row>
    <row r="18" spans="1:4" ht="15.75" thickBot="1">
      <c r="A18" s="13" t="s">
        <v>37</v>
      </c>
      <c r="B18" s="13" t="s">
        <v>38</v>
      </c>
      <c r="C18" s="14">
        <v>0</v>
      </c>
      <c r="D18" s="14"/>
    </row>
    <row r="19" spans="1:4" ht="15.75" thickBot="1">
      <c r="A19" s="13" t="s">
        <v>17</v>
      </c>
      <c r="B19" s="13" t="s">
        <v>39</v>
      </c>
      <c r="C19" s="14">
        <f>SUM(C20:C23)</f>
        <v>-122.33478999999998</v>
      </c>
      <c r="D19" s="14">
        <f>SUM(D20:D23)</f>
        <v>-412.92132000000004</v>
      </c>
    </row>
    <row r="20" spans="1:4" ht="34.5" thickBot="1">
      <c r="A20" s="13" t="s">
        <v>40</v>
      </c>
      <c r="B20" s="13" t="s">
        <v>41</v>
      </c>
      <c r="C20" s="14">
        <f>-121798.18/1000</f>
        <v>-121.79817999999999</v>
      </c>
      <c r="D20" s="14">
        <f>-404757.83/1000</f>
        <v>-404.75783</v>
      </c>
    </row>
    <row r="21" spans="1:4" ht="15.75" thickBot="1">
      <c r="A21" s="13" t="s">
        <v>42</v>
      </c>
      <c r="B21" s="13" t="s">
        <v>43</v>
      </c>
      <c r="C21" s="14"/>
      <c r="D21" s="14">
        <f>-939.2/1000</f>
        <v>-0.9392</v>
      </c>
    </row>
    <row r="22" spans="1:4" ht="15.75" thickBot="1">
      <c r="A22" s="13" t="s">
        <v>44</v>
      </c>
      <c r="B22" s="13" t="s">
        <v>45</v>
      </c>
      <c r="C22" s="14"/>
      <c r="D22" s="14">
        <f>-7037.26/1000</f>
        <v>-7.03726</v>
      </c>
    </row>
    <row r="23" spans="1:4" ht="15.75" thickBot="1">
      <c r="A23" s="13" t="s">
        <v>46</v>
      </c>
      <c r="B23" s="13" t="s">
        <v>47</v>
      </c>
      <c r="C23" s="14">
        <f>-536.61/1000</f>
        <v>-0.53661</v>
      </c>
      <c r="D23" s="14">
        <f>-187.03/1000</f>
        <v>-0.18703</v>
      </c>
    </row>
    <row r="24" spans="1:4" ht="15.75" thickBot="1">
      <c r="A24" s="13" t="s">
        <v>17</v>
      </c>
      <c r="B24" s="13" t="s">
        <v>48</v>
      </c>
      <c r="C24" s="14">
        <f>SUM(C25:C27)</f>
        <v>-15.12314</v>
      </c>
      <c r="D24" s="14">
        <f>SUM(D25:D27)</f>
        <v>-56.61199</v>
      </c>
    </row>
    <row r="25" spans="1:4" ht="15.75" thickBot="1">
      <c r="A25" s="13" t="s">
        <v>49</v>
      </c>
      <c r="B25" s="13" t="s">
        <v>50</v>
      </c>
      <c r="C25" s="14">
        <f>-882.14/1000</f>
        <v>-0.88214</v>
      </c>
      <c r="D25" s="14">
        <f>-3730.46/1000</f>
        <v>-3.73046</v>
      </c>
    </row>
    <row r="26" spans="1:4" ht="15.75" thickBot="1">
      <c r="A26" s="13" t="s">
        <v>51</v>
      </c>
      <c r="B26" s="13" t="s">
        <v>52</v>
      </c>
      <c r="C26" s="14">
        <f>+(-15123.14+882.14)/1000</f>
        <v>-14.241</v>
      </c>
      <c r="D26" s="14">
        <f>+(-56611.99+3730.46)/1000</f>
        <v>-52.88153</v>
      </c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290.0218199999999</v>
      </c>
      <c r="D43" s="12">
        <f>D4+D5+D6+D7+D12+D15+D19+D24+D28+D29+D30+D39+D40</f>
        <v>1332.3785600000003</v>
      </c>
    </row>
    <row r="44" spans="1:4" ht="15.75" thickBot="1">
      <c r="A44" s="13" t="s">
        <v>17</v>
      </c>
      <c r="B44" s="13" t="s">
        <v>78</v>
      </c>
      <c r="C44" s="14">
        <f>SUM(C45:C46)</f>
        <v>0</v>
      </c>
      <c r="D44" s="14">
        <f>SUM(D45:D46)</f>
        <v>1.1721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/>
      <c r="D46" s="14">
        <f>1172.1/1000</f>
        <v>1.1721</v>
      </c>
    </row>
    <row r="47" spans="1:4" ht="15.75" thickBot="1">
      <c r="A47" s="13" t="s">
        <v>17</v>
      </c>
      <c r="B47" s="13" t="s">
        <v>83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0</v>
      </c>
      <c r="D55" s="12">
        <f>D44+D47+D51+D52+D53+D54</f>
        <v>1.1721</v>
      </c>
    </row>
    <row r="56" spans="1:4" ht="15.75" thickBot="1">
      <c r="A56" s="11" t="s">
        <v>17</v>
      </c>
      <c r="B56" s="11" t="s">
        <v>98</v>
      </c>
      <c r="C56" s="12">
        <f>C43+C55</f>
        <v>290.0218199999999</v>
      </c>
      <c r="D56" s="12">
        <f>D43+D55</f>
        <v>1333.5506600000003</v>
      </c>
    </row>
    <row r="57" spans="1:4" ht="15.75" thickBot="1">
      <c r="A57" s="13" t="s">
        <v>99</v>
      </c>
      <c r="B57" s="13" t="s">
        <v>100</v>
      </c>
      <c r="C57" s="14">
        <f>-72505.52/1000</f>
        <v>-72.50552</v>
      </c>
      <c r="D57" s="14">
        <f>-333387.67/1000</f>
        <v>-333.38766999999996</v>
      </c>
    </row>
    <row r="58" spans="1:4" ht="23.25" thickBot="1">
      <c r="A58" s="11" t="s">
        <v>17</v>
      </c>
      <c r="B58" s="11" t="s">
        <v>101</v>
      </c>
      <c r="C58" s="12">
        <f>C56+C57</f>
        <v>217.5162999999999</v>
      </c>
      <c r="D58" s="12">
        <f>D56+D57</f>
        <v>1000.1629900000004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217.5162999999999</v>
      </c>
      <c r="D61" s="14">
        <f>D58+D60</f>
        <v>1000.1629900000004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24">
        <v>42795</v>
      </c>
      <c r="D2" s="24">
        <v>42705</v>
      </c>
    </row>
    <row r="3" spans="1:4" ht="15.75" thickBot="1">
      <c r="A3" s="15"/>
      <c r="B3" s="15" t="s">
        <v>10</v>
      </c>
      <c r="C3" s="18">
        <f>C58</f>
        <v>0</v>
      </c>
      <c r="D3" s="18">
        <f>D58</f>
        <v>0</v>
      </c>
    </row>
    <row r="4" spans="1:4" ht="23.25" thickBot="1">
      <c r="A4" s="13" t="s">
        <v>11</v>
      </c>
      <c r="B4" s="13" t="s">
        <v>12</v>
      </c>
      <c r="C4" s="14"/>
      <c r="D4" s="14"/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0</v>
      </c>
      <c r="D7" s="14">
        <f>SUM(D8:D11)</f>
        <v>0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0.25</v>
      </c>
      <c r="D12" s="14">
        <f>SUM(D13:D14)</f>
        <v>1.45384</v>
      </c>
    </row>
    <row r="13" spans="1:4" ht="15.75" thickBot="1">
      <c r="A13" s="13" t="s">
        <v>28</v>
      </c>
      <c r="B13" s="13" t="s">
        <v>29</v>
      </c>
      <c r="C13" s="14">
        <v>0.25</v>
      </c>
      <c r="D13" s="14">
        <v>1.45384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0</v>
      </c>
      <c r="D15" s="14">
        <f>SUM(D16:D18)</f>
        <v>0</v>
      </c>
    </row>
    <row r="16" spans="1:4" ht="15.75" thickBot="1">
      <c r="A16" s="13" t="s">
        <v>33</v>
      </c>
      <c r="B16" s="13" t="s">
        <v>34</v>
      </c>
      <c r="C16" s="14"/>
      <c r="D16" s="14"/>
    </row>
    <row r="17" spans="1:4" ht="15.75" thickBot="1">
      <c r="A17" s="13" t="s">
        <v>35</v>
      </c>
      <c r="B17" s="13" t="s">
        <v>36</v>
      </c>
      <c r="C17" s="14"/>
      <c r="D17" s="14"/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-0.25</v>
      </c>
      <c r="D19" s="14">
        <f>SUM(D20:D23)</f>
        <v>-1.45384</v>
      </c>
    </row>
    <row r="20" spans="1:4" ht="34.5" thickBot="1">
      <c r="A20" s="13" t="s">
        <v>40</v>
      </c>
      <c r="B20" s="13" t="s">
        <v>41</v>
      </c>
      <c r="C20" s="14">
        <v>-0.25</v>
      </c>
      <c r="D20" s="14">
        <v>-1.40346</v>
      </c>
    </row>
    <row r="21" spans="1:4" ht="15.75" thickBot="1">
      <c r="A21" s="13" t="s">
        <v>42</v>
      </c>
      <c r="B21" s="13" t="s">
        <v>43</v>
      </c>
      <c r="C21" s="14"/>
      <c r="D21" s="14">
        <v>-0.05038</v>
      </c>
    </row>
    <row r="22" spans="1:4" ht="15.75" thickBot="1">
      <c r="A22" s="13" t="s">
        <v>44</v>
      </c>
      <c r="B22" s="13" t="s">
        <v>45</v>
      </c>
      <c r="C22" s="14"/>
      <c r="D22" s="14"/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49</v>
      </c>
      <c r="B25" s="13" t="s">
        <v>50</v>
      </c>
      <c r="C25" s="14"/>
      <c r="D25" s="14"/>
    </row>
    <row r="26" spans="1:4" ht="15.75" thickBot="1">
      <c r="A26" s="13" t="s">
        <v>51</v>
      </c>
      <c r="B26" s="13" t="s">
        <v>52</v>
      </c>
      <c r="C26" s="14"/>
      <c r="D26" s="14"/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0</v>
      </c>
      <c r="D43" s="12">
        <f>D4+D5+D6+D7+D12+D15+D19+D24+D28+D29+D30+D39+D40</f>
        <v>0</v>
      </c>
    </row>
    <row r="44" spans="1:4" ht="15.75" thickBot="1">
      <c r="A44" s="13" t="s">
        <v>17</v>
      </c>
      <c r="B44" s="13" t="s">
        <v>78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/>
      <c r="D46" s="14"/>
    </row>
    <row r="47" spans="1:4" ht="15.75" thickBot="1">
      <c r="A47" s="13" t="s">
        <v>17</v>
      </c>
      <c r="B47" s="13" t="s">
        <v>83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0</v>
      </c>
      <c r="D55" s="12">
        <f>D44+D47+D51+D52+D53+D54</f>
        <v>0</v>
      </c>
    </row>
    <row r="56" spans="1:4" ht="15.75" thickBot="1">
      <c r="A56" s="11" t="s">
        <v>17</v>
      </c>
      <c r="B56" s="11" t="s">
        <v>98</v>
      </c>
      <c r="C56" s="12">
        <f>C43+C55</f>
        <v>0</v>
      </c>
      <c r="D56" s="12">
        <f>D43+D55</f>
        <v>0</v>
      </c>
    </row>
    <row r="57" spans="1:4" ht="15.75" thickBot="1">
      <c r="A57" s="13" t="s">
        <v>99</v>
      </c>
      <c r="B57" s="13" t="s">
        <v>100</v>
      </c>
      <c r="C57" s="14"/>
      <c r="D57" s="14"/>
    </row>
    <row r="58" spans="1:4" ht="23.25" thickBot="1">
      <c r="A58" s="11" t="s">
        <v>17</v>
      </c>
      <c r="B58" s="11" t="s">
        <v>101</v>
      </c>
      <c r="C58" s="12">
        <f>C56+C57</f>
        <v>0</v>
      </c>
      <c r="D58" s="12">
        <f>D56+D57</f>
        <v>0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0</v>
      </c>
      <c r="D61" s="14">
        <f>D58+D60</f>
        <v>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B65" sqref="B65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24">
        <v>42795</v>
      </c>
      <c r="D2" s="24">
        <v>42705</v>
      </c>
    </row>
    <row r="3" spans="1:4" ht="15.75" thickBot="1">
      <c r="A3" s="15"/>
      <c r="B3" s="15" t="s">
        <v>10</v>
      </c>
      <c r="C3" s="18">
        <f>C58</f>
        <v>-0.9375</v>
      </c>
      <c r="D3" s="18">
        <f>D58</f>
        <v>10.932250000000002</v>
      </c>
    </row>
    <row r="4" spans="1:4" ht="23.25" thickBot="1">
      <c r="A4" s="13" t="s">
        <v>11</v>
      </c>
      <c r="B4" s="13" t="s">
        <v>12</v>
      </c>
      <c r="C4" s="14"/>
      <c r="D4" s="14"/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0</v>
      </c>
      <c r="D7" s="14">
        <f>SUM(D8:D11)</f>
        <v>0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0</v>
      </c>
      <c r="D12" s="14">
        <f>SUM(D13:D14)</f>
        <v>22.589260000000003</v>
      </c>
    </row>
    <row r="13" spans="1:4" ht="15.75" thickBot="1">
      <c r="A13" s="13" t="s">
        <v>28</v>
      </c>
      <c r="B13" s="13" t="s">
        <v>29</v>
      </c>
      <c r="C13" s="14">
        <v>0</v>
      </c>
      <c r="D13" s="14">
        <v>22.589260000000003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0</v>
      </c>
      <c r="D15" s="14">
        <f>SUM(D16:D18)</f>
        <v>0</v>
      </c>
    </row>
    <row r="16" spans="1:4" ht="15.75" thickBot="1">
      <c r="A16" s="13" t="s">
        <v>33</v>
      </c>
      <c r="B16" s="13" t="s">
        <v>34</v>
      </c>
      <c r="C16" s="14"/>
      <c r="D16" s="14"/>
    </row>
    <row r="17" spans="1:4" ht="15.75" thickBot="1">
      <c r="A17" s="13" t="s">
        <v>35</v>
      </c>
      <c r="B17" s="13" t="s">
        <v>36</v>
      </c>
      <c r="C17" s="14"/>
      <c r="D17" s="14"/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-1.25</v>
      </c>
      <c r="D19" s="14">
        <f>SUM(D20:D23)</f>
        <v>-8.012920000000001</v>
      </c>
    </row>
    <row r="20" spans="1:4" ht="34.5" thickBot="1">
      <c r="A20" s="13" t="s">
        <v>40</v>
      </c>
      <c r="B20" s="13" t="s">
        <v>41</v>
      </c>
      <c r="C20" s="14">
        <v>-1.25</v>
      </c>
      <c r="D20" s="14">
        <v>-6.55984</v>
      </c>
    </row>
    <row r="21" spans="1:4" ht="15.75" thickBot="1">
      <c r="A21" s="13" t="s">
        <v>42</v>
      </c>
      <c r="B21" s="13" t="s">
        <v>43</v>
      </c>
      <c r="C21" s="14"/>
      <c r="D21" s="14">
        <v>-1.45308</v>
      </c>
    </row>
    <row r="22" spans="1:4" ht="15.75" thickBot="1">
      <c r="A22" s="13" t="s">
        <v>44</v>
      </c>
      <c r="B22" s="13" t="s">
        <v>45</v>
      </c>
      <c r="C22" s="14"/>
      <c r="D22" s="14"/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49</v>
      </c>
      <c r="B25" s="13" t="s">
        <v>50</v>
      </c>
      <c r="C25" s="14"/>
      <c r="D25" s="14"/>
    </row>
    <row r="26" spans="1:4" ht="15.75" thickBot="1">
      <c r="A26" s="13" t="s">
        <v>51</v>
      </c>
      <c r="B26" s="13" t="s">
        <v>52</v>
      </c>
      <c r="C26" s="14"/>
      <c r="D26" s="14"/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-1.25</v>
      </c>
      <c r="D43" s="12">
        <f>D4+D5+D6+D7+D12+D15+D19+D24+D28+D29+D30+D39+D40</f>
        <v>14.576340000000002</v>
      </c>
    </row>
    <row r="44" spans="1:4" ht="15.75" thickBot="1">
      <c r="A44" s="13" t="s">
        <v>17</v>
      </c>
      <c r="B44" s="13" t="s">
        <v>78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/>
      <c r="D46" s="14"/>
    </row>
    <row r="47" spans="1:4" ht="15.75" thickBot="1">
      <c r="A47" s="13" t="s">
        <v>17</v>
      </c>
      <c r="B47" s="13" t="s">
        <v>83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0</v>
      </c>
      <c r="D55" s="12">
        <f>D44+D47+D51+D52+D53+D54</f>
        <v>0</v>
      </c>
    </row>
    <row r="56" spans="1:4" ht="15.75" thickBot="1">
      <c r="A56" s="11" t="s">
        <v>17</v>
      </c>
      <c r="B56" s="11" t="s">
        <v>98</v>
      </c>
      <c r="C56" s="12">
        <f>C43+C55</f>
        <v>-1.25</v>
      </c>
      <c r="D56" s="12">
        <f>D43+D55</f>
        <v>14.576340000000002</v>
      </c>
    </row>
    <row r="57" spans="1:4" ht="15.75" thickBot="1">
      <c r="A57" s="13" t="s">
        <v>99</v>
      </c>
      <c r="B57" s="13" t="s">
        <v>100</v>
      </c>
      <c r="C57" s="14">
        <v>0.3125</v>
      </c>
      <c r="D57" s="14">
        <v>-3.6440900000000003</v>
      </c>
    </row>
    <row r="58" spans="1:4" ht="23.25" thickBot="1">
      <c r="A58" s="11" t="s">
        <v>17</v>
      </c>
      <c r="B58" s="11" t="s">
        <v>101</v>
      </c>
      <c r="C58" s="12">
        <f>C56+C57</f>
        <v>-0.9375</v>
      </c>
      <c r="D58" s="12">
        <f>D56+D57</f>
        <v>10.932250000000002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-0.9375</v>
      </c>
      <c r="D61" s="14">
        <f>D58+D60</f>
        <v>10.932250000000002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1.8515625" style="0" bestFit="1" customWidth="1"/>
    <col min="2" max="2" width="73.14062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24">
        <f>+'[2]D1'!C3</f>
        <v>42795</v>
      </c>
      <c r="D2" s="24">
        <f>+'[2]D1'!D3</f>
        <v>42705</v>
      </c>
    </row>
    <row r="3" spans="1:4" ht="15.75" thickBot="1">
      <c r="A3" s="15"/>
      <c r="B3" s="15" t="s">
        <v>10</v>
      </c>
      <c r="C3" s="25">
        <f>C58</f>
        <v>1100403.3499999999</v>
      </c>
      <c r="D3" s="25">
        <f>D58</f>
        <v>4663334.680000002</v>
      </c>
    </row>
    <row r="4" spans="1:4" ht="23.25" thickBot="1">
      <c r="A4" s="13" t="s">
        <v>11</v>
      </c>
      <c r="B4" s="13" t="s">
        <v>12</v>
      </c>
      <c r="C4" s="26">
        <v>1180284.41</v>
      </c>
      <c r="D4" s="26">
        <v>5117809.58</v>
      </c>
    </row>
    <row r="5" spans="1:4" ht="15.75" thickBot="1">
      <c r="A5" s="13" t="s">
        <v>13</v>
      </c>
      <c r="B5" s="13" t="s">
        <v>14</v>
      </c>
      <c r="C5" s="26"/>
      <c r="D5" s="26"/>
    </row>
    <row r="6" spans="1:4" ht="15.75" thickBot="1">
      <c r="A6" s="13" t="s">
        <v>15</v>
      </c>
      <c r="B6" s="13" t="s">
        <v>16</v>
      </c>
      <c r="C6" s="26"/>
      <c r="D6" s="26"/>
    </row>
    <row r="7" spans="1:4" ht="15.75" thickBot="1">
      <c r="A7" s="13" t="s">
        <v>17</v>
      </c>
      <c r="B7" s="13" t="s">
        <v>18</v>
      </c>
      <c r="C7" s="26">
        <f>SUM(C8:C11)</f>
        <v>0</v>
      </c>
      <c r="D7" s="26">
        <f>SUM(D8:D11)</f>
        <v>0</v>
      </c>
    </row>
    <row r="8" spans="1:4" ht="15.75" thickBot="1">
      <c r="A8" s="13" t="s">
        <v>19</v>
      </c>
      <c r="B8" s="13" t="s">
        <v>20</v>
      </c>
      <c r="C8" s="26"/>
      <c r="D8" s="26"/>
    </row>
    <row r="9" spans="1:4" ht="23.25" thickBot="1">
      <c r="A9" s="13" t="s">
        <v>21</v>
      </c>
      <c r="B9" s="13" t="s">
        <v>22</v>
      </c>
      <c r="C9" s="26"/>
      <c r="D9" s="26"/>
    </row>
    <row r="10" spans="1:4" ht="15.75" thickBot="1">
      <c r="A10" s="13" t="s">
        <v>23</v>
      </c>
      <c r="B10" s="13" t="s">
        <v>24</v>
      </c>
      <c r="C10" s="26"/>
      <c r="D10" s="26"/>
    </row>
    <row r="11" spans="1:4" ht="23.25" thickBot="1">
      <c r="A11" s="13" t="s">
        <v>25</v>
      </c>
      <c r="B11" s="13" t="s">
        <v>26</v>
      </c>
      <c r="C11" s="26"/>
      <c r="D11" s="26"/>
    </row>
    <row r="12" spans="1:4" ht="15.75" thickBot="1">
      <c r="A12" s="13" t="s">
        <v>17</v>
      </c>
      <c r="B12" s="13" t="s">
        <v>27</v>
      </c>
      <c r="C12" s="26">
        <f>SUM(C13:C14)</f>
        <v>7283</v>
      </c>
      <c r="D12" s="26">
        <f>SUM(D13:D14)</f>
        <v>34179.17</v>
      </c>
    </row>
    <row r="13" spans="1:4" ht="15.75" thickBot="1">
      <c r="A13" s="13" t="s">
        <v>28</v>
      </c>
      <c r="B13" s="13" t="s">
        <v>29</v>
      </c>
      <c r="C13" s="26">
        <v>7283</v>
      </c>
      <c r="D13" s="26">
        <v>34179.17</v>
      </c>
    </row>
    <row r="14" spans="1:4" ht="15.75" thickBot="1">
      <c r="A14" s="13" t="s">
        <v>30</v>
      </c>
      <c r="B14" s="13" t="s">
        <v>31</v>
      </c>
      <c r="C14" s="26"/>
      <c r="D14" s="26"/>
    </row>
    <row r="15" spans="1:4" ht="15.75" thickBot="1">
      <c r="A15" s="13" t="s">
        <v>17</v>
      </c>
      <c r="B15" s="13" t="s">
        <v>32</v>
      </c>
      <c r="C15" s="26">
        <f>SUM(C16:C18)</f>
        <v>0</v>
      </c>
      <c r="D15" s="26">
        <f>SUM(D16:D18)</f>
        <v>0</v>
      </c>
    </row>
    <row r="16" spans="1:4" ht="15.75" thickBot="1">
      <c r="A16" s="13" t="s">
        <v>33</v>
      </c>
      <c r="B16" s="13" t="s">
        <v>34</v>
      </c>
      <c r="C16" s="26"/>
      <c r="D16" s="26"/>
    </row>
    <row r="17" spans="1:4" ht="15.75" thickBot="1">
      <c r="A17" s="13" t="s">
        <v>35</v>
      </c>
      <c r="B17" s="13" t="s">
        <v>36</v>
      </c>
      <c r="C17" s="26"/>
      <c r="D17" s="26"/>
    </row>
    <row r="18" spans="1:4" ht="15.75" thickBot="1">
      <c r="A18" s="13" t="s">
        <v>37</v>
      </c>
      <c r="B18" s="13" t="s">
        <v>38</v>
      </c>
      <c r="C18" s="26"/>
      <c r="D18" s="26"/>
    </row>
    <row r="19" spans="1:4" ht="15.75" thickBot="1">
      <c r="A19" s="13" t="s">
        <v>17</v>
      </c>
      <c r="B19" s="13" t="s">
        <v>39</v>
      </c>
      <c r="C19" s="26">
        <f>SUM(C20:C23)</f>
        <v>-20932.19</v>
      </c>
      <c r="D19" s="26">
        <f>SUM(D20:D23)</f>
        <v>-63111.01</v>
      </c>
    </row>
    <row r="20" spans="1:4" ht="23.25" thickBot="1">
      <c r="A20" s="13" t="s">
        <v>40</v>
      </c>
      <c r="B20" s="13" t="s">
        <v>41</v>
      </c>
      <c r="C20" s="26">
        <v>-20932.19</v>
      </c>
      <c r="D20" s="26">
        <v>-63111.01</v>
      </c>
    </row>
    <row r="21" spans="1:4" ht="15.75" thickBot="1">
      <c r="A21" s="13" t="s">
        <v>42</v>
      </c>
      <c r="B21" s="13" t="s">
        <v>43</v>
      </c>
      <c r="C21" s="26"/>
      <c r="D21" s="26"/>
    </row>
    <row r="22" spans="1:4" ht="23.25" thickBot="1">
      <c r="A22" s="13" t="s">
        <v>44</v>
      </c>
      <c r="B22" s="13" t="s">
        <v>45</v>
      </c>
      <c r="C22" s="26"/>
      <c r="D22" s="26"/>
    </row>
    <row r="23" spans="1:4" ht="15.75" thickBot="1">
      <c r="A23" s="13" t="s">
        <v>46</v>
      </c>
      <c r="B23" s="13" t="s">
        <v>47</v>
      </c>
      <c r="C23" s="26"/>
      <c r="D23" s="26"/>
    </row>
    <row r="24" spans="1:4" ht="15.75" thickBot="1">
      <c r="A24" s="13" t="s">
        <v>17</v>
      </c>
      <c r="B24" s="13" t="s">
        <v>48</v>
      </c>
      <c r="C24" s="26">
        <f>SUM(C25:C27)</f>
        <v>0</v>
      </c>
      <c r="D24" s="26">
        <f>SUM(D25:D27)</f>
        <v>0</v>
      </c>
    </row>
    <row r="25" spans="1:4" ht="15.75" thickBot="1">
      <c r="A25" s="13" t="s">
        <v>49</v>
      </c>
      <c r="B25" s="13" t="s">
        <v>50</v>
      </c>
      <c r="C25" s="26"/>
      <c r="D25" s="26"/>
    </row>
    <row r="26" spans="1:4" ht="15.75" thickBot="1">
      <c r="A26" s="13" t="s">
        <v>51</v>
      </c>
      <c r="B26" s="13" t="s">
        <v>52</v>
      </c>
      <c r="C26" s="26"/>
      <c r="D26" s="26"/>
    </row>
    <row r="27" spans="1:4" ht="15.75" thickBot="1">
      <c r="A27" s="13" t="s">
        <v>53</v>
      </c>
      <c r="B27" s="13" t="s">
        <v>54</v>
      </c>
      <c r="C27" s="26"/>
      <c r="D27" s="26"/>
    </row>
    <row r="28" spans="1:4" ht="15.75" thickBot="1">
      <c r="A28" s="13" t="s">
        <v>17</v>
      </c>
      <c r="B28" s="13" t="s">
        <v>55</v>
      </c>
      <c r="C28" s="26"/>
      <c r="D28" s="26"/>
    </row>
    <row r="29" spans="1:4" ht="15.75" thickBot="1">
      <c r="A29" s="13" t="s">
        <v>56</v>
      </c>
      <c r="B29" s="13" t="s">
        <v>57</v>
      </c>
      <c r="C29" s="26"/>
      <c r="D29" s="26"/>
    </row>
    <row r="30" spans="1:4" ht="15.75" thickBot="1">
      <c r="A30" s="13" t="s">
        <v>17</v>
      </c>
      <c r="B30" s="13" t="s">
        <v>58</v>
      </c>
      <c r="C30" s="26">
        <f>C31+C35</f>
        <v>0</v>
      </c>
      <c r="D30" s="26">
        <f>D31+D35</f>
        <v>0</v>
      </c>
    </row>
    <row r="31" spans="1:4" ht="15.75" thickBot="1">
      <c r="A31" s="13" t="s">
        <v>17</v>
      </c>
      <c r="B31" s="13" t="s">
        <v>59</v>
      </c>
      <c r="C31" s="26">
        <f>SUM(C32:C34)</f>
        <v>0</v>
      </c>
      <c r="D31" s="26">
        <f>SUM(D32:D34)</f>
        <v>0</v>
      </c>
    </row>
    <row r="32" spans="1:4" ht="15.75" thickBot="1">
      <c r="A32" s="13" t="s">
        <v>60</v>
      </c>
      <c r="B32" s="13" t="s">
        <v>61</v>
      </c>
      <c r="C32" s="26"/>
      <c r="D32" s="26"/>
    </row>
    <row r="33" spans="1:4" ht="15.75" thickBot="1">
      <c r="A33" s="13" t="s">
        <v>62</v>
      </c>
      <c r="B33" s="13" t="s">
        <v>63</v>
      </c>
      <c r="C33" s="26"/>
      <c r="D33" s="26"/>
    </row>
    <row r="34" spans="1:4" ht="15.75" thickBot="1">
      <c r="A34" s="13" t="s">
        <v>64</v>
      </c>
      <c r="B34" s="13" t="s">
        <v>65</v>
      </c>
      <c r="C34" s="26"/>
      <c r="D34" s="26"/>
    </row>
    <row r="35" spans="1:4" ht="15.75" thickBot="1">
      <c r="A35" s="13" t="s">
        <v>17</v>
      </c>
      <c r="B35" s="13" t="s">
        <v>66</v>
      </c>
      <c r="C35" s="26">
        <f>SUM(C36:C38)</f>
        <v>0</v>
      </c>
      <c r="D35" s="26">
        <f>SUM(D36:D38)</f>
        <v>0</v>
      </c>
    </row>
    <row r="36" spans="1:4" ht="15.75" thickBot="1">
      <c r="A36" s="13" t="s">
        <v>67</v>
      </c>
      <c r="B36" s="13" t="s">
        <v>61</v>
      </c>
      <c r="C36" s="26"/>
      <c r="D36" s="26"/>
    </row>
    <row r="37" spans="1:4" ht="15.75" thickBot="1">
      <c r="A37" s="13" t="s">
        <v>68</v>
      </c>
      <c r="B37" s="13" t="s">
        <v>63</v>
      </c>
      <c r="C37" s="26"/>
      <c r="D37" s="26"/>
    </row>
    <row r="38" spans="1:4" ht="15.75" thickBot="1">
      <c r="A38" s="13" t="s">
        <v>69</v>
      </c>
      <c r="B38" s="13" t="s">
        <v>65</v>
      </c>
      <c r="C38" s="26"/>
      <c r="D38" s="26"/>
    </row>
    <row r="39" spans="1:4" ht="15.75" thickBot="1">
      <c r="A39" s="13" t="s">
        <v>70</v>
      </c>
      <c r="B39" s="13" t="s">
        <v>71</v>
      </c>
      <c r="C39" s="26"/>
      <c r="D39" s="26"/>
    </row>
    <row r="40" spans="1:4" ht="15.75" thickBot="1">
      <c r="A40" s="13" t="s">
        <v>70</v>
      </c>
      <c r="B40" s="13" t="s">
        <v>72</v>
      </c>
      <c r="C40" s="26">
        <f>SUM(C41:C42)</f>
        <v>0</v>
      </c>
      <c r="D40" s="26">
        <f>SUM(D41:D42)</f>
        <v>0</v>
      </c>
    </row>
    <row r="41" spans="1:4" ht="15.75" thickBot="1">
      <c r="A41" s="13" t="s">
        <v>73</v>
      </c>
      <c r="B41" s="13" t="s">
        <v>74</v>
      </c>
      <c r="C41" s="26"/>
      <c r="D41" s="26"/>
    </row>
    <row r="42" spans="1:4" ht="15.75" thickBot="1">
      <c r="A42" s="13" t="s">
        <v>75</v>
      </c>
      <c r="B42" s="13" t="s">
        <v>76</v>
      </c>
      <c r="C42" s="26"/>
      <c r="D42" s="26"/>
    </row>
    <row r="43" spans="1:4" ht="23.25" thickBot="1">
      <c r="A43" s="11" t="s">
        <v>17</v>
      </c>
      <c r="B43" s="11" t="s">
        <v>77</v>
      </c>
      <c r="C43" s="27">
        <f>C4+C5+C6+C7+C12+C15+C19+C24+C28+C29+C30+C39+C40</f>
        <v>1166635.22</v>
      </c>
      <c r="D43" s="27">
        <f>D4+D5+D6+D7+D12+D15+D19+D24+D28+D29+D30+D39+D40</f>
        <v>5088877.74</v>
      </c>
    </row>
    <row r="44" spans="1:4" ht="15.75" thickBot="1">
      <c r="A44" s="13" t="s">
        <v>17</v>
      </c>
      <c r="B44" s="13" t="s">
        <v>78</v>
      </c>
      <c r="C44" s="26">
        <f>SUM(C45:C46)</f>
        <v>350146.18</v>
      </c>
      <c r="D44" s="26">
        <f>SUM(D45:D46)</f>
        <v>9572507.67</v>
      </c>
    </row>
    <row r="45" spans="1:4" ht="15.75" thickBot="1">
      <c r="A45" s="13" t="s">
        <v>79</v>
      </c>
      <c r="B45" s="13" t="s">
        <v>80</v>
      </c>
      <c r="C45" s="26">
        <v>75664.42</v>
      </c>
      <c r="D45" s="26">
        <v>8565704.26</v>
      </c>
    </row>
    <row r="46" spans="1:4" ht="15.75" thickBot="1">
      <c r="A46" s="13" t="s">
        <v>81</v>
      </c>
      <c r="B46" s="13" t="s">
        <v>82</v>
      </c>
      <c r="C46" s="26">
        <v>274481.76</v>
      </c>
      <c r="D46" s="26">
        <v>1006803.41</v>
      </c>
    </row>
    <row r="47" spans="1:4" ht="15.75" thickBot="1">
      <c r="A47" s="13" t="s">
        <v>17</v>
      </c>
      <c r="B47" s="13" t="s">
        <v>83</v>
      </c>
      <c r="C47" s="26">
        <f>SUM(C48:C50)</f>
        <v>0</v>
      </c>
      <c r="D47" s="26">
        <f>SUM(D48:D50)</f>
        <v>-60.34</v>
      </c>
    </row>
    <row r="48" spans="1:4" ht="34.5" thickBot="1">
      <c r="A48" s="13" t="s">
        <v>84</v>
      </c>
      <c r="B48" s="13" t="s">
        <v>85</v>
      </c>
      <c r="C48" s="26"/>
      <c r="D48" s="26"/>
    </row>
    <row r="49" spans="1:4" ht="45.75" thickBot="1">
      <c r="A49" s="13" t="s">
        <v>86</v>
      </c>
      <c r="B49" s="13" t="s">
        <v>87</v>
      </c>
      <c r="C49" s="26"/>
      <c r="D49" s="26">
        <v>-60.34</v>
      </c>
    </row>
    <row r="50" spans="1:4" ht="15.75" thickBot="1">
      <c r="A50" s="13" t="s">
        <v>88</v>
      </c>
      <c r="B50" s="13" t="s">
        <v>89</v>
      </c>
      <c r="C50" s="26"/>
      <c r="D50" s="26"/>
    </row>
    <row r="51" spans="1:4" ht="15.75" thickBot="1">
      <c r="A51" s="13" t="s">
        <v>90</v>
      </c>
      <c r="B51" s="13" t="s">
        <v>91</v>
      </c>
      <c r="C51" s="26"/>
      <c r="D51" s="26"/>
    </row>
    <row r="52" spans="1:4" ht="15.75" thickBot="1">
      <c r="A52" s="13" t="s">
        <v>92</v>
      </c>
      <c r="B52" s="13" t="s">
        <v>93</v>
      </c>
      <c r="C52" s="26">
        <v>-70527.22</v>
      </c>
      <c r="D52" s="26">
        <v>2270148.54</v>
      </c>
    </row>
    <row r="53" spans="1:4" ht="23.25" thickBot="1">
      <c r="A53" s="13" t="s">
        <v>94</v>
      </c>
      <c r="B53" s="13" t="s">
        <v>95</v>
      </c>
      <c r="C53" s="26"/>
      <c r="D53" s="26">
        <v>-10176613.77</v>
      </c>
    </row>
    <row r="54" spans="1:4" ht="15.75" thickBot="1">
      <c r="A54" s="13" t="s">
        <v>17</v>
      </c>
      <c r="B54" s="13" t="s">
        <v>96</v>
      </c>
      <c r="C54" s="26"/>
      <c r="D54" s="26"/>
    </row>
    <row r="55" spans="1:4" ht="15.75" thickBot="1">
      <c r="A55" s="11" t="s">
        <v>17</v>
      </c>
      <c r="B55" s="11" t="s">
        <v>97</v>
      </c>
      <c r="C55" s="27">
        <f>C44+C47+C51+C52+C53+C54</f>
        <v>279618.95999999996</v>
      </c>
      <c r="D55" s="27">
        <f>D44+D47+D51+D52+D53+D54</f>
        <v>1665982.1000000015</v>
      </c>
    </row>
    <row r="56" spans="1:4" ht="15.75" thickBot="1">
      <c r="A56" s="11" t="s">
        <v>17</v>
      </c>
      <c r="B56" s="11" t="s">
        <v>98</v>
      </c>
      <c r="C56" s="27">
        <f>C43+C55</f>
        <v>1446254.18</v>
      </c>
      <c r="D56" s="27">
        <f>D43+D55</f>
        <v>6754859.840000002</v>
      </c>
    </row>
    <row r="57" spans="1:4" ht="15.75" thickBot="1">
      <c r="A57" s="13" t="s">
        <v>99</v>
      </c>
      <c r="B57" s="13" t="s">
        <v>100</v>
      </c>
      <c r="C57" s="26">
        <v>-345850.83</v>
      </c>
      <c r="D57" s="26">
        <v>-2091525.16</v>
      </c>
    </row>
    <row r="58" spans="1:4" ht="23.25" thickBot="1">
      <c r="A58" s="11" t="s">
        <v>17</v>
      </c>
      <c r="B58" s="11" t="s">
        <v>101</v>
      </c>
      <c r="C58" s="27">
        <f>C56+C57</f>
        <v>1100403.3499999999</v>
      </c>
      <c r="D58" s="27">
        <f>D56+D57</f>
        <v>4663334.680000002</v>
      </c>
    </row>
    <row r="59" spans="1:4" ht="15.75" thickBot="1">
      <c r="A59" s="15"/>
      <c r="B59" s="15" t="s">
        <v>102</v>
      </c>
      <c r="C59" s="25">
        <f>C60</f>
        <v>0</v>
      </c>
      <c r="D59" s="25">
        <f>D60</f>
        <v>0</v>
      </c>
    </row>
    <row r="60" spans="1:4" ht="23.25" thickBot="1">
      <c r="A60" s="13" t="s">
        <v>17</v>
      </c>
      <c r="B60" s="13" t="s">
        <v>103</v>
      </c>
      <c r="C60" s="26"/>
      <c r="D60" s="26"/>
    </row>
    <row r="61" spans="1:4" ht="15.75" thickBot="1">
      <c r="A61" s="13" t="s">
        <v>17</v>
      </c>
      <c r="B61" s="13" t="s">
        <v>104</v>
      </c>
      <c r="C61" s="26">
        <f>C58+C60</f>
        <v>1100403.3499999999</v>
      </c>
      <c r="D61" s="26">
        <f>D58+D60</f>
        <v>4663334.680000002</v>
      </c>
    </row>
    <row r="63" spans="3:4" ht="15">
      <c r="C63" s="28"/>
      <c r="D63" s="2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3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68" t="s">
        <v>5</v>
      </c>
      <c r="B1" s="68"/>
      <c r="C1" s="68"/>
      <c r="D1" s="68"/>
    </row>
    <row r="2" spans="1:4" ht="20.25" thickBot="1">
      <c r="A2" s="15"/>
      <c r="B2" s="17" t="s">
        <v>8</v>
      </c>
      <c r="C2" s="24">
        <v>42795</v>
      </c>
      <c r="D2" s="24">
        <v>42705</v>
      </c>
    </row>
    <row r="3" spans="1:4" ht="15.75" thickBot="1">
      <c r="A3" s="15"/>
      <c r="B3" s="15" t="s">
        <v>10</v>
      </c>
      <c r="C3" s="18">
        <f>C58</f>
        <v>0</v>
      </c>
      <c r="D3" s="18">
        <f>D58</f>
        <v>-2.220446049250313E-16</v>
      </c>
    </row>
    <row r="4" spans="1:4" ht="23.25" thickBot="1">
      <c r="A4" s="13" t="s">
        <v>11</v>
      </c>
      <c r="B4" s="13" t="s">
        <v>12</v>
      </c>
      <c r="C4" s="14"/>
      <c r="D4" s="14"/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0</v>
      </c>
      <c r="D7" s="14">
        <f>SUM(D8:D11)</f>
        <v>0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0.25</v>
      </c>
      <c r="D12" s="14">
        <f>SUM(D13:D14)</f>
        <v>1.46179</v>
      </c>
    </row>
    <row r="13" spans="1:4" ht="15.75" thickBot="1">
      <c r="A13" s="13" t="s">
        <v>28</v>
      </c>
      <c r="B13" s="13" t="s">
        <v>29</v>
      </c>
      <c r="C13" s="14">
        <v>0.25</v>
      </c>
      <c r="D13" s="14">
        <v>1.46179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0</v>
      </c>
      <c r="D15" s="14">
        <f>SUM(D16:D18)</f>
        <v>0</v>
      </c>
    </row>
    <row r="16" spans="1:4" ht="15.75" thickBot="1">
      <c r="A16" s="13" t="s">
        <v>33</v>
      </c>
      <c r="B16" s="13" t="s">
        <v>34</v>
      </c>
      <c r="C16" s="14"/>
      <c r="D16" s="14"/>
    </row>
    <row r="17" spans="1:4" ht="15.75" thickBot="1">
      <c r="A17" s="13" t="s">
        <v>35</v>
      </c>
      <c r="B17" s="13" t="s">
        <v>36</v>
      </c>
      <c r="C17" s="14"/>
      <c r="D17" s="14"/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-0.25</v>
      </c>
      <c r="D19" s="14">
        <f>SUM(D20:D23)</f>
        <v>-1.4617900000000001</v>
      </c>
    </row>
    <row r="20" spans="1:4" ht="34.5" thickBot="1">
      <c r="A20" s="13" t="s">
        <v>40</v>
      </c>
      <c r="B20" s="13" t="s">
        <v>41</v>
      </c>
      <c r="C20" s="14">
        <v>-0.25</v>
      </c>
      <c r="D20" s="14">
        <v>-1.41141</v>
      </c>
    </row>
    <row r="21" spans="1:4" ht="15.75" thickBot="1">
      <c r="A21" s="13" t="s">
        <v>42</v>
      </c>
      <c r="B21" s="13" t="s">
        <v>43</v>
      </c>
      <c r="C21" s="14"/>
      <c r="D21" s="14">
        <v>-0.05038</v>
      </c>
    </row>
    <row r="22" spans="1:4" ht="15.75" thickBot="1">
      <c r="A22" s="13" t="s">
        <v>44</v>
      </c>
      <c r="B22" s="13" t="s">
        <v>45</v>
      </c>
      <c r="C22" s="14"/>
      <c r="D22" s="14"/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49</v>
      </c>
      <c r="B25" s="13" t="s">
        <v>50</v>
      </c>
      <c r="C25" s="14"/>
      <c r="D25" s="14"/>
    </row>
    <row r="26" spans="1:4" ht="15.75" thickBot="1">
      <c r="A26" s="13" t="s">
        <v>51</v>
      </c>
      <c r="B26" s="13" t="s">
        <v>52</v>
      </c>
      <c r="C26" s="14"/>
      <c r="D26" s="14"/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0</v>
      </c>
      <c r="D43" s="12">
        <f>D4+D5+D6+D7+D12+D15+D19+D24+D28+D29+D30+D39+D40</f>
        <v>-2.220446049250313E-16</v>
      </c>
    </row>
    <row r="44" spans="1:4" ht="15.75" thickBot="1">
      <c r="A44" s="13" t="s">
        <v>17</v>
      </c>
      <c r="B44" s="13" t="s">
        <v>78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/>
      <c r="D46" s="14"/>
    </row>
    <row r="47" spans="1:4" ht="15.75" thickBot="1">
      <c r="A47" s="13" t="s">
        <v>17</v>
      </c>
      <c r="B47" s="13" t="s">
        <v>83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0</v>
      </c>
      <c r="D55" s="12">
        <f>D44+D47+D51+D52+D53+D54</f>
        <v>0</v>
      </c>
    </row>
    <row r="56" spans="1:4" ht="15.75" thickBot="1">
      <c r="A56" s="11" t="s">
        <v>17</v>
      </c>
      <c r="B56" s="11" t="s">
        <v>98</v>
      </c>
      <c r="C56" s="12">
        <f>C43+C55</f>
        <v>0</v>
      </c>
      <c r="D56" s="12">
        <f>D43+D55</f>
        <v>-2.220446049250313E-16</v>
      </c>
    </row>
    <row r="57" spans="1:4" ht="15.75" thickBot="1">
      <c r="A57" s="13" t="s">
        <v>99</v>
      </c>
      <c r="B57" s="13" t="s">
        <v>100</v>
      </c>
      <c r="C57" s="14"/>
      <c r="D57" s="14"/>
    </row>
    <row r="58" spans="1:4" ht="23.25" thickBot="1">
      <c r="A58" s="11" t="s">
        <v>17</v>
      </c>
      <c r="B58" s="11" t="s">
        <v>101</v>
      </c>
      <c r="C58" s="12">
        <f>C56+C57</f>
        <v>0</v>
      </c>
      <c r="D58" s="12">
        <f>D56+D57</f>
        <v>-2.220446049250313E-16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0</v>
      </c>
      <c r="D61" s="14">
        <f>D58+D60</f>
        <v>-2.220446049250313E-16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65"/>
  <sheetViews>
    <sheetView zoomScalePageLayoutView="0" workbookViewId="0" topLeftCell="A1">
      <selection activeCell="A5" sqref="A5:D65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5" spans="1:4" ht="19.5" customHeight="1" thickBot="1">
      <c r="A5" s="51" t="s">
        <v>5</v>
      </c>
      <c r="B5" s="51"/>
      <c r="C5" s="51"/>
      <c r="D5" s="51"/>
    </row>
    <row r="6" spans="1:4" ht="20.25" thickBot="1">
      <c r="A6" s="15"/>
      <c r="B6" s="17" t="s">
        <v>8</v>
      </c>
      <c r="C6" s="24">
        <v>42825</v>
      </c>
      <c r="D6" s="24">
        <v>42735</v>
      </c>
    </row>
    <row r="7" spans="1:4" ht="15.75" thickBot="1">
      <c r="A7" s="15"/>
      <c r="B7" s="15" t="s">
        <v>10</v>
      </c>
      <c r="C7" s="18">
        <f>C62</f>
        <v>90</v>
      </c>
      <c r="D7" s="18">
        <f>D62</f>
        <v>-2203</v>
      </c>
    </row>
    <row r="8" spans="1:4" ht="23.25" thickBot="1">
      <c r="A8" s="13" t="s">
        <v>11</v>
      </c>
      <c r="B8" s="13" t="s">
        <v>12</v>
      </c>
      <c r="C8" s="14">
        <v>7471</v>
      </c>
      <c r="D8" s="14">
        <v>30692</v>
      </c>
    </row>
    <row r="9" spans="1:4" ht="15.75" thickBot="1">
      <c r="A9" s="13" t="s">
        <v>13</v>
      </c>
      <c r="B9" s="13" t="s">
        <v>14</v>
      </c>
      <c r="C9" s="14"/>
      <c r="D9" s="14"/>
    </row>
    <row r="10" spans="1:4" ht="15.75" thickBot="1">
      <c r="A10" s="13" t="s">
        <v>15</v>
      </c>
      <c r="B10" s="13" t="s">
        <v>16</v>
      </c>
      <c r="C10" s="14">
        <v>2</v>
      </c>
      <c r="D10" s="14">
        <v>63</v>
      </c>
    </row>
    <row r="11" spans="1:4" ht="15.75" thickBot="1">
      <c r="A11" s="13" t="s">
        <v>17</v>
      </c>
      <c r="B11" s="13" t="s">
        <v>18</v>
      </c>
      <c r="C11" s="14">
        <f>SUM(C12:C15)</f>
        <v>-3772</v>
      </c>
      <c r="D11" s="14">
        <f>SUM(D12:D15)</f>
        <v>-16208</v>
      </c>
    </row>
    <row r="12" spans="1:4" ht="15.75" thickBot="1">
      <c r="A12" s="13" t="s">
        <v>19</v>
      </c>
      <c r="B12" s="13" t="s">
        <v>20</v>
      </c>
      <c r="C12" s="14"/>
      <c r="D12" s="14"/>
    </row>
    <row r="13" spans="1:4" ht="34.5" thickBot="1">
      <c r="A13" s="13" t="s">
        <v>21</v>
      </c>
      <c r="B13" s="13" t="s">
        <v>22</v>
      </c>
      <c r="C13" s="14">
        <v>-3025</v>
      </c>
      <c r="D13" s="14">
        <v>-13269</v>
      </c>
    </row>
    <row r="14" spans="1:4" ht="15.75" thickBot="1">
      <c r="A14" s="13" t="s">
        <v>23</v>
      </c>
      <c r="B14" s="13" t="s">
        <v>24</v>
      </c>
      <c r="C14" s="14">
        <v>-747</v>
      </c>
      <c r="D14" s="14">
        <v>-2939</v>
      </c>
    </row>
    <row r="15" spans="1:4" ht="23.25" thickBot="1">
      <c r="A15" s="13" t="s">
        <v>25</v>
      </c>
      <c r="B15" s="13" t="s">
        <v>26</v>
      </c>
      <c r="C15" s="14"/>
      <c r="D15" s="14"/>
    </row>
    <row r="16" spans="1:4" ht="15.75" thickBot="1">
      <c r="A16" s="13" t="s">
        <v>17</v>
      </c>
      <c r="B16" s="13" t="s">
        <v>27</v>
      </c>
      <c r="C16" s="14">
        <f>SUM(C17:C18)</f>
        <v>393</v>
      </c>
      <c r="D16" s="14">
        <f>SUM(D17:D18)</f>
        <v>2148</v>
      </c>
    </row>
    <row r="17" spans="1:4" ht="15.75" thickBot="1">
      <c r="A17" s="13" t="s">
        <v>28</v>
      </c>
      <c r="B17" s="13" t="s">
        <v>29</v>
      </c>
      <c r="C17" s="14">
        <v>393</v>
      </c>
      <c r="D17" s="14">
        <v>1452</v>
      </c>
    </row>
    <row r="18" spans="1:4" ht="15.75" thickBot="1">
      <c r="A18" s="13" t="s">
        <v>30</v>
      </c>
      <c r="B18" s="13" t="s">
        <v>31</v>
      </c>
      <c r="C18" s="14"/>
      <c r="D18" s="14">
        <v>696</v>
      </c>
    </row>
    <row r="19" spans="1:4" ht="15.75" thickBot="1">
      <c r="A19" s="13" t="s">
        <v>17</v>
      </c>
      <c r="B19" s="13" t="s">
        <v>32</v>
      </c>
      <c r="C19" s="14">
        <f>SUM(C20:C22)</f>
        <v>-2809</v>
      </c>
      <c r="D19" s="14">
        <f>SUM(D20:D22)</f>
        <v>-11387</v>
      </c>
    </row>
    <row r="20" spans="1:4" ht="15.75" thickBot="1">
      <c r="A20" s="13" t="s">
        <v>33</v>
      </c>
      <c r="B20" s="13" t="s">
        <v>34</v>
      </c>
      <c r="C20" s="14">
        <v>-2113</v>
      </c>
      <c r="D20" s="14">
        <v>-8566</v>
      </c>
    </row>
    <row r="21" spans="1:4" ht="15.75" thickBot="1">
      <c r="A21" s="13" t="s">
        <v>35</v>
      </c>
      <c r="B21" s="13" t="s">
        <v>36</v>
      </c>
      <c r="C21" s="14">
        <v>-696</v>
      </c>
      <c r="D21" s="14">
        <v>-2821</v>
      </c>
    </row>
    <row r="22" spans="1:4" ht="15.75" thickBot="1">
      <c r="A22" s="13" t="s">
        <v>37</v>
      </c>
      <c r="B22" s="13" t="s">
        <v>38</v>
      </c>
      <c r="C22" s="14"/>
      <c r="D22" s="14"/>
    </row>
    <row r="23" spans="1:4" ht="15.75" thickBot="1">
      <c r="A23" s="13" t="s">
        <v>17</v>
      </c>
      <c r="B23" s="13" t="s">
        <v>39</v>
      </c>
      <c r="C23" s="14">
        <f>SUM(C24:C27)</f>
        <v>-1515</v>
      </c>
      <c r="D23" s="14">
        <f>SUM(D24:D27)</f>
        <v>-6134</v>
      </c>
    </row>
    <row r="24" spans="1:4" ht="34.5" thickBot="1">
      <c r="A24" s="13" t="s">
        <v>40</v>
      </c>
      <c r="B24" s="13" t="s">
        <v>41</v>
      </c>
      <c r="C24" s="14">
        <v>-1241</v>
      </c>
      <c r="D24" s="14">
        <v>-4766</v>
      </c>
    </row>
    <row r="25" spans="1:4" ht="15.75" thickBot="1">
      <c r="A25" s="13" t="s">
        <v>42</v>
      </c>
      <c r="B25" s="13" t="s">
        <v>43</v>
      </c>
      <c r="C25" s="14">
        <v>-234</v>
      </c>
      <c r="D25" s="14">
        <v>-712</v>
      </c>
    </row>
    <row r="26" spans="1:4" ht="15.75" thickBot="1">
      <c r="A26" s="13" t="s">
        <v>44</v>
      </c>
      <c r="B26" s="13" t="s">
        <v>45</v>
      </c>
      <c r="C26" s="14">
        <v>-26</v>
      </c>
      <c r="D26" s="14">
        <v>-596</v>
      </c>
    </row>
    <row r="27" spans="1:4" ht="15.75" thickBot="1">
      <c r="A27" s="13" t="s">
        <v>46</v>
      </c>
      <c r="B27" s="13" t="s">
        <v>47</v>
      </c>
      <c r="C27" s="14">
        <v>-14</v>
      </c>
      <c r="D27" s="14">
        <v>-60</v>
      </c>
    </row>
    <row r="28" spans="1:4" ht="15.75" thickBot="1">
      <c r="A28" s="13" t="s">
        <v>17</v>
      </c>
      <c r="B28" s="13" t="s">
        <v>48</v>
      </c>
      <c r="C28" s="14">
        <f>SUM(C29:C31)</f>
        <v>-555</v>
      </c>
      <c r="D28" s="14">
        <f>SUM(D29:D31)</f>
        <v>-1866</v>
      </c>
    </row>
    <row r="29" spans="1:4" ht="15.75" thickBot="1">
      <c r="A29" s="13" t="s">
        <v>49</v>
      </c>
      <c r="B29" s="13" t="s">
        <v>50</v>
      </c>
      <c r="C29" s="14">
        <v>-555</v>
      </c>
      <c r="D29" s="14">
        <v>-1866</v>
      </c>
    </row>
    <row r="30" spans="1:4" ht="15.75" thickBot="1">
      <c r="A30" s="13" t="s">
        <v>51</v>
      </c>
      <c r="B30" s="13" t="s">
        <v>52</v>
      </c>
      <c r="C30" s="14"/>
      <c r="D30" s="14"/>
    </row>
    <row r="31" spans="1:4" ht="15.75" thickBot="1">
      <c r="A31" s="13" t="s">
        <v>53</v>
      </c>
      <c r="B31" s="13" t="s">
        <v>54</v>
      </c>
      <c r="C31" s="14"/>
      <c r="D31" s="14"/>
    </row>
    <row r="32" spans="1:4" ht="15.75" thickBot="1">
      <c r="A32" s="13" t="s">
        <v>17</v>
      </c>
      <c r="B32" s="13" t="s">
        <v>55</v>
      </c>
      <c r="C32" s="14"/>
      <c r="D32" s="14"/>
    </row>
    <row r="33" spans="1:4" ht="15.75" thickBot="1">
      <c r="A33" s="13" t="s">
        <v>56</v>
      </c>
      <c r="B33" s="13" t="s">
        <v>57</v>
      </c>
      <c r="C33" s="14"/>
      <c r="D33" s="14"/>
    </row>
    <row r="34" spans="1:4" ht="15.75" thickBot="1">
      <c r="A34" s="13" t="s">
        <v>17</v>
      </c>
      <c r="B34" s="13" t="s">
        <v>58</v>
      </c>
      <c r="C34" s="14">
        <f>C35+C39</f>
        <v>0</v>
      </c>
      <c r="D34" s="14">
        <f>D35+D39</f>
        <v>0</v>
      </c>
    </row>
    <row r="35" spans="1:4" ht="15.75" thickBot="1">
      <c r="A35" s="13" t="s">
        <v>17</v>
      </c>
      <c r="B35" s="13" t="s">
        <v>59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60</v>
      </c>
      <c r="B36" s="13" t="s">
        <v>61</v>
      </c>
      <c r="C36" s="14"/>
      <c r="D36" s="14"/>
    </row>
    <row r="37" spans="1:4" ht="15.75" thickBot="1">
      <c r="A37" s="13" t="s">
        <v>62</v>
      </c>
      <c r="B37" s="13" t="s">
        <v>63</v>
      </c>
      <c r="C37" s="14"/>
      <c r="D37" s="14"/>
    </row>
    <row r="38" spans="1:4" ht="15.75" thickBot="1">
      <c r="A38" s="13" t="s">
        <v>64</v>
      </c>
      <c r="B38" s="13" t="s">
        <v>65</v>
      </c>
      <c r="C38" s="14"/>
      <c r="D38" s="14"/>
    </row>
    <row r="39" spans="1:4" ht="15.75" thickBot="1">
      <c r="A39" s="13" t="s">
        <v>17</v>
      </c>
      <c r="B39" s="13" t="s">
        <v>66</v>
      </c>
      <c r="C39" s="14">
        <f>SUM(C40:C42)</f>
        <v>0</v>
      </c>
      <c r="D39" s="14">
        <f>SUM(D40:D42)</f>
        <v>0</v>
      </c>
    </row>
    <row r="40" spans="1:4" ht="15.75" thickBot="1">
      <c r="A40" s="13" t="s">
        <v>67</v>
      </c>
      <c r="B40" s="13" t="s">
        <v>61</v>
      </c>
      <c r="C40" s="14"/>
      <c r="D40" s="14"/>
    </row>
    <row r="41" spans="1:4" ht="15.75" thickBot="1">
      <c r="A41" s="13" t="s">
        <v>68</v>
      </c>
      <c r="B41" s="13" t="s">
        <v>63</v>
      </c>
      <c r="C41" s="14"/>
      <c r="D41" s="14"/>
    </row>
    <row r="42" spans="1:4" ht="15.75" thickBot="1">
      <c r="A42" s="13" t="s">
        <v>69</v>
      </c>
      <c r="B42" s="13" t="s">
        <v>65</v>
      </c>
      <c r="C42" s="14"/>
      <c r="D42" s="14"/>
    </row>
    <row r="43" spans="1:4" ht="15.75" thickBot="1">
      <c r="A43" s="13" t="s">
        <v>70</v>
      </c>
      <c r="B43" s="13" t="s">
        <v>71</v>
      </c>
      <c r="C43" s="14"/>
      <c r="D43" s="14"/>
    </row>
    <row r="44" spans="1:4" ht="15.75" thickBot="1">
      <c r="A44" s="13" t="s">
        <v>70</v>
      </c>
      <c r="B44" s="13" t="s">
        <v>72</v>
      </c>
      <c r="C44" s="14">
        <f>SUM(C45:C46)</f>
        <v>-5</v>
      </c>
      <c r="D44" s="14">
        <f>SUM(D45:D46)</f>
        <v>-548</v>
      </c>
    </row>
    <row r="45" spans="1:4" ht="15.75" thickBot="1">
      <c r="A45" s="13" t="s">
        <v>73</v>
      </c>
      <c r="B45" s="13" t="s">
        <v>74</v>
      </c>
      <c r="C45" s="14">
        <v>-5</v>
      </c>
      <c r="D45" s="14">
        <v>-548</v>
      </c>
    </row>
    <row r="46" spans="1:4" ht="15.75" thickBot="1">
      <c r="A46" s="13" t="s">
        <v>75</v>
      </c>
      <c r="B46" s="13" t="s">
        <v>76</v>
      </c>
      <c r="C46" s="14"/>
      <c r="D46" s="14"/>
    </row>
    <row r="47" spans="1:4" ht="15.75" thickBot="1">
      <c r="A47" s="11" t="s">
        <v>17</v>
      </c>
      <c r="B47" s="11" t="s">
        <v>77</v>
      </c>
      <c r="C47" s="12">
        <f>C8+C9+C10+C11+C16+C19+C23+C28+C32+C33+C34+C43+C44</f>
        <v>-790</v>
      </c>
      <c r="D47" s="12">
        <f>D8+D9+D10+D11+D16+D19+D23+D28+D32+D33+D34+D43+D44</f>
        <v>-3240</v>
      </c>
    </row>
    <row r="48" spans="1:4" ht="15.75" thickBot="1">
      <c r="A48" s="13" t="s">
        <v>17</v>
      </c>
      <c r="B48" s="13" t="s">
        <v>78</v>
      </c>
      <c r="C48" s="14">
        <f>SUM(C49:C50)</f>
        <v>0</v>
      </c>
      <c r="D48" s="14">
        <f>SUM(D49:D50)</f>
        <v>0</v>
      </c>
    </row>
    <row r="49" spans="1:4" ht="15.75" thickBot="1">
      <c r="A49" s="13" t="s">
        <v>79</v>
      </c>
      <c r="B49" s="13" t="s">
        <v>80</v>
      </c>
      <c r="C49" s="14"/>
      <c r="D49" s="14"/>
    </row>
    <row r="50" spans="1:4" ht="15.75" thickBot="1">
      <c r="A50" s="13" t="s">
        <v>81</v>
      </c>
      <c r="B50" s="13" t="s">
        <v>82</v>
      </c>
      <c r="C50" s="14"/>
      <c r="D50" s="14"/>
    </row>
    <row r="51" spans="1:4" ht="15.75" thickBot="1">
      <c r="A51" s="13" t="s">
        <v>17</v>
      </c>
      <c r="B51" s="13" t="s">
        <v>83</v>
      </c>
      <c r="C51" s="14">
        <f>SUM(C52:C54)</f>
        <v>-462</v>
      </c>
      <c r="D51" s="14">
        <f>SUM(D52:D54)</f>
        <v>-2403</v>
      </c>
    </row>
    <row r="52" spans="1:4" ht="45.75" thickBot="1">
      <c r="A52" s="13" t="s">
        <v>84</v>
      </c>
      <c r="B52" s="13" t="s">
        <v>85</v>
      </c>
      <c r="C52" s="14">
        <v>-1101</v>
      </c>
      <c r="D52" s="14">
        <v>-4053</v>
      </c>
    </row>
    <row r="53" spans="1:4" ht="57" thickBot="1">
      <c r="A53" s="13" t="s">
        <v>86</v>
      </c>
      <c r="B53" s="13" t="s">
        <v>87</v>
      </c>
      <c r="C53" s="14">
        <v>639</v>
      </c>
      <c r="D53" s="14">
        <v>1650</v>
      </c>
    </row>
    <row r="54" spans="1:4" ht="15.75" thickBot="1">
      <c r="A54" s="13" t="s">
        <v>88</v>
      </c>
      <c r="B54" s="13" t="s">
        <v>89</v>
      </c>
      <c r="C54" s="14"/>
      <c r="D54" s="14"/>
    </row>
    <row r="55" spans="1:4" ht="15.75" thickBot="1">
      <c r="A55" s="13" t="s">
        <v>90</v>
      </c>
      <c r="B55" s="13" t="s">
        <v>91</v>
      </c>
      <c r="C55" s="14"/>
      <c r="D55" s="14"/>
    </row>
    <row r="56" spans="1:4" ht="15.75" thickBot="1">
      <c r="A56" s="13" t="s">
        <v>92</v>
      </c>
      <c r="B56" s="13" t="s">
        <v>93</v>
      </c>
      <c r="C56" s="14"/>
      <c r="D56" s="14"/>
    </row>
    <row r="57" spans="1:4" ht="23.25" thickBot="1">
      <c r="A57" s="13" t="s">
        <v>94</v>
      </c>
      <c r="B57" s="13" t="s">
        <v>95</v>
      </c>
      <c r="C57" s="14"/>
      <c r="D57" s="14"/>
    </row>
    <row r="58" spans="1:4" ht="15.75" thickBot="1">
      <c r="A58" s="13" t="s">
        <v>17</v>
      </c>
      <c r="B58" s="13" t="s">
        <v>96</v>
      </c>
      <c r="C58" s="14"/>
      <c r="D58" s="14"/>
    </row>
    <row r="59" spans="1:4" ht="15.75" thickBot="1">
      <c r="A59" s="11" t="s">
        <v>17</v>
      </c>
      <c r="B59" s="11" t="s">
        <v>97</v>
      </c>
      <c r="C59" s="12">
        <f>C48+C51+C55+C56+C57+C58</f>
        <v>-462</v>
      </c>
      <c r="D59" s="12">
        <f>D48+D51+D55+D56+D57+D58</f>
        <v>-2403</v>
      </c>
    </row>
    <row r="60" spans="1:4" ht="15.75" thickBot="1">
      <c r="A60" s="11" t="s">
        <v>17</v>
      </c>
      <c r="B60" s="11" t="s">
        <v>98</v>
      </c>
      <c r="C60" s="12">
        <f>C47+C59</f>
        <v>-1252</v>
      </c>
      <c r="D60" s="12">
        <f>D47+D59</f>
        <v>-5643</v>
      </c>
    </row>
    <row r="61" spans="1:4" ht="15.75" thickBot="1">
      <c r="A61" s="13" t="s">
        <v>99</v>
      </c>
      <c r="B61" s="13" t="s">
        <v>100</v>
      </c>
      <c r="C61" s="14">
        <v>1342</v>
      </c>
      <c r="D61" s="14">
        <v>3440</v>
      </c>
    </row>
    <row r="62" spans="1:4" ht="23.25" thickBot="1">
      <c r="A62" s="11" t="s">
        <v>17</v>
      </c>
      <c r="B62" s="11" t="s">
        <v>101</v>
      </c>
      <c r="C62" s="12">
        <f>C60+C61</f>
        <v>90</v>
      </c>
      <c r="D62" s="12">
        <f>D60+D61</f>
        <v>-2203</v>
      </c>
    </row>
    <row r="63" spans="1:4" ht="15.75" thickBot="1">
      <c r="A63" s="15"/>
      <c r="B63" s="15" t="s">
        <v>102</v>
      </c>
      <c r="C63" s="18">
        <f>C64</f>
        <v>0</v>
      </c>
      <c r="D63" s="18">
        <f>D64</f>
        <v>0</v>
      </c>
    </row>
    <row r="64" spans="1:4" ht="15.75" thickBot="1">
      <c r="A64" s="13" t="s">
        <v>17</v>
      </c>
      <c r="B64" s="13" t="s">
        <v>103</v>
      </c>
      <c r="C64" s="14"/>
      <c r="D64" s="14"/>
    </row>
    <row r="65" spans="1:4" ht="15.75" thickBot="1">
      <c r="A65" s="13" t="s">
        <v>17</v>
      </c>
      <c r="B65" s="13" t="s">
        <v>104</v>
      </c>
      <c r="C65" s="14">
        <f>C62+C64</f>
        <v>90</v>
      </c>
      <c r="D65" s="14">
        <f>D62+D64</f>
        <v>-2203</v>
      </c>
    </row>
  </sheetData>
  <sheetProtection/>
  <mergeCells count="1"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6"/>
      <c r="B2" s="17" t="s">
        <v>8</v>
      </c>
      <c r="C2" s="46">
        <v>42825</v>
      </c>
      <c r="D2" s="46">
        <v>42735</v>
      </c>
    </row>
    <row r="3" spans="1:4" ht="15.75" thickBot="1">
      <c r="A3" s="6"/>
      <c r="B3" s="6" t="s">
        <v>10</v>
      </c>
      <c r="C3" s="18">
        <f>C58</f>
        <v>55</v>
      </c>
      <c r="D3" s="18">
        <f>D58</f>
        <v>-357</v>
      </c>
    </row>
    <row r="4" spans="1:4" ht="23.25" thickBot="1">
      <c r="A4" s="4" t="s">
        <v>11</v>
      </c>
      <c r="B4" s="4" t="s">
        <v>12</v>
      </c>
      <c r="C4" s="5">
        <v>52</v>
      </c>
      <c r="D4" s="5">
        <v>206</v>
      </c>
    </row>
    <row r="5" spans="1:4" ht="15.75" thickBot="1">
      <c r="A5" s="4" t="s">
        <v>13</v>
      </c>
      <c r="B5" s="4" t="s">
        <v>14</v>
      </c>
      <c r="C5" s="5">
        <v>5</v>
      </c>
      <c r="D5" s="5">
        <v>34</v>
      </c>
    </row>
    <row r="6" spans="1:4" ht="15.75" thickBot="1">
      <c r="A6" s="4" t="s">
        <v>15</v>
      </c>
      <c r="B6" s="4" t="s">
        <v>16</v>
      </c>
      <c r="C6" s="5"/>
      <c r="D6" s="5"/>
    </row>
    <row r="7" spans="1:4" ht="15.75" thickBot="1">
      <c r="A7" s="4" t="s">
        <v>17</v>
      </c>
      <c r="B7" s="4" t="s">
        <v>18</v>
      </c>
      <c r="C7" s="5">
        <f>SUM(C8:C11)</f>
        <v>-5</v>
      </c>
      <c r="D7" s="5">
        <f>SUM(D8:D11)</f>
        <v>-34</v>
      </c>
    </row>
    <row r="8" spans="1:4" ht="15.75" thickBot="1">
      <c r="A8" s="4" t="s">
        <v>19</v>
      </c>
      <c r="B8" s="4" t="s">
        <v>20</v>
      </c>
      <c r="C8" s="5"/>
      <c r="D8" s="5"/>
    </row>
    <row r="9" spans="1:4" ht="34.5" thickBot="1">
      <c r="A9" s="4" t="s">
        <v>21</v>
      </c>
      <c r="B9" s="4" t="s">
        <v>22</v>
      </c>
      <c r="C9" s="5">
        <v>-5</v>
      </c>
      <c r="D9" s="5">
        <v>-34</v>
      </c>
    </row>
    <row r="10" spans="1:4" ht="15.75" thickBot="1">
      <c r="A10" s="4" t="s">
        <v>23</v>
      </c>
      <c r="B10" s="4" t="s">
        <v>24</v>
      </c>
      <c r="C10" s="5"/>
      <c r="D10" s="5"/>
    </row>
    <row r="11" spans="1:4" ht="23.25" thickBot="1">
      <c r="A11" s="4" t="s">
        <v>25</v>
      </c>
      <c r="B11" s="4" t="s">
        <v>26</v>
      </c>
      <c r="C11" s="5"/>
      <c r="D11" s="5"/>
    </row>
    <row r="12" spans="1:4" ht="15.75" thickBot="1">
      <c r="A12" s="4" t="s">
        <v>17</v>
      </c>
      <c r="B12" s="4" t="s">
        <v>27</v>
      </c>
      <c r="C12" s="5">
        <f>SUM(C13:C14)</f>
        <v>369</v>
      </c>
      <c r="D12" s="5">
        <f>SUM(D13:D14)</f>
        <v>1516</v>
      </c>
    </row>
    <row r="13" spans="1:4" ht="15.75" thickBot="1">
      <c r="A13" s="4" t="s">
        <v>28</v>
      </c>
      <c r="B13" s="4" t="s">
        <v>29</v>
      </c>
      <c r="C13" s="5">
        <f>369</f>
        <v>369</v>
      </c>
      <c r="D13" s="5">
        <v>1516</v>
      </c>
    </row>
    <row r="14" spans="1:4" ht="15.75" thickBot="1">
      <c r="A14" s="4" t="s">
        <v>30</v>
      </c>
      <c r="B14" s="4" t="s">
        <v>31</v>
      </c>
      <c r="C14" s="5"/>
      <c r="D14" s="5"/>
    </row>
    <row r="15" spans="1:4" ht="15.75" thickBot="1">
      <c r="A15" s="4" t="s">
        <v>17</v>
      </c>
      <c r="B15" s="4" t="s">
        <v>32</v>
      </c>
      <c r="C15" s="5">
        <f>SUM(C16:C18)</f>
        <v>-31</v>
      </c>
      <c r="D15" s="5">
        <f>SUM(D16:D18)</f>
        <v>-99</v>
      </c>
    </row>
    <row r="16" spans="1:4" ht="15.75" thickBot="1">
      <c r="A16" s="4" t="s">
        <v>33</v>
      </c>
      <c r="B16" s="4" t="s">
        <v>34</v>
      </c>
      <c r="C16" s="5">
        <v>-26</v>
      </c>
      <c r="D16" s="5">
        <v>-83</v>
      </c>
    </row>
    <row r="17" spans="1:4" ht="15.75" thickBot="1">
      <c r="A17" s="4" t="s">
        <v>35</v>
      </c>
      <c r="B17" s="4" t="s">
        <v>36</v>
      </c>
      <c r="C17" s="5">
        <v>-5</v>
      </c>
      <c r="D17" s="5">
        <v>-16</v>
      </c>
    </row>
    <row r="18" spans="1:4" ht="15.75" thickBot="1">
      <c r="A18" s="4" t="s">
        <v>37</v>
      </c>
      <c r="B18" s="4" t="s">
        <v>38</v>
      </c>
      <c r="C18" s="5"/>
      <c r="D18" s="5"/>
    </row>
    <row r="19" spans="1:4" ht="15.75" thickBot="1">
      <c r="A19" s="4" t="s">
        <v>17</v>
      </c>
      <c r="B19" s="4" t="s">
        <v>39</v>
      </c>
      <c r="C19" s="5">
        <f>SUM(C20:C23)</f>
        <v>-313</v>
      </c>
      <c r="D19" s="5">
        <f>SUM(D20:D23)</f>
        <v>-1892</v>
      </c>
    </row>
    <row r="20" spans="1:4" ht="34.5" thickBot="1">
      <c r="A20" s="4" t="s">
        <v>40</v>
      </c>
      <c r="B20" s="4" t="s">
        <v>41</v>
      </c>
      <c r="C20" s="5">
        <v>-305</v>
      </c>
      <c r="D20" s="5">
        <v>-1653</v>
      </c>
    </row>
    <row r="21" spans="1:4" ht="15.75" thickBot="1">
      <c r="A21" s="4" t="s">
        <v>42</v>
      </c>
      <c r="B21" s="4" t="s">
        <v>43</v>
      </c>
      <c r="C21" s="5">
        <v>-8</v>
      </c>
      <c r="D21" s="5">
        <v>-42</v>
      </c>
    </row>
    <row r="22" spans="1:4" ht="15.75" thickBot="1">
      <c r="A22" s="4" t="s">
        <v>44</v>
      </c>
      <c r="B22" s="4" t="s">
        <v>45</v>
      </c>
      <c r="C22" s="5"/>
      <c r="D22" s="5">
        <v>-197</v>
      </c>
    </row>
    <row r="23" spans="1:4" ht="15.75" thickBot="1">
      <c r="A23" s="4" t="s">
        <v>46</v>
      </c>
      <c r="B23" s="4" t="s">
        <v>47</v>
      </c>
      <c r="C23" s="5"/>
      <c r="D23" s="5"/>
    </row>
    <row r="24" spans="1:4" ht="15.75" thickBot="1">
      <c r="A24" s="4" t="s">
        <v>17</v>
      </c>
      <c r="B24" s="4" t="s">
        <v>48</v>
      </c>
      <c r="C24" s="5">
        <f>SUM(C25:C27)</f>
        <v>-21</v>
      </c>
      <c r="D24" s="5">
        <f>SUM(D25:D27)</f>
        <v>-87</v>
      </c>
    </row>
    <row r="25" spans="1:4" ht="15.75" thickBot="1">
      <c r="A25" s="4" t="s">
        <v>49</v>
      </c>
      <c r="B25" s="4" t="s">
        <v>50</v>
      </c>
      <c r="C25" s="5">
        <v>0</v>
      </c>
      <c r="D25" s="5">
        <v>-1</v>
      </c>
    </row>
    <row r="26" spans="1:4" ht="15.75" thickBot="1">
      <c r="A26" s="4" t="s">
        <v>51</v>
      </c>
      <c r="B26" s="4" t="s">
        <v>52</v>
      </c>
      <c r="C26" s="5">
        <v>-21</v>
      </c>
      <c r="D26" s="5">
        <v>-86</v>
      </c>
    </row>
    <row r="27" spans="1:4" ht="15.75" thickBot="1">
      <c r="A27" s="4" t="s">
        <v>53</v>
      </c>
      <c r="B27" s="4" t="s">
        <v>54</v>
      </c>
      <c r="C27" s="5"/>
      <c r="D27" s="5"/>
    </row>
    <row r="28" spans="1:4" ht="15.75" thickBot="1">
      <c r="A28" s="4" t="s">
        <v>17</v>
      </c>
      <c r="B28" s="4" t="s">
        <v>55</v>
      </c>
      <c r="C28" s="5"/>
      <c r="D28" s="5"/>
    </row>
    <row r="29" spans="1:4" ht="15.75" thickBot="1">
      <c r="A29" s="4" t="s">
        <v>56</v>
      </c>
      <c r="B29" s="4" t="s">
        <v>57</v>
      </c>
      <c r="C29" s="5"/>
      <c r="D29" s="5"/>
    </row>
    <row r="30" spans="1:4" ht="15.75" thickBot="1">
      <c r="A30" s="4" t="s">
        <v>17</v>
      </c>
      <c r="B30" s="4" t="s">
        <v>58</v>
      </c>
      <c r="C30" s="5">
        <f>C31+C35</f>
        <v>0</v>
      </c>
      <c r="D30" s="5">
        <v>3</v>
      </c>
    </row>
    <row r="31" spans="1:4" ht="15.75" thickBot="1">
      <c r="A31" s="4" t="s">
        <v>17</v>
      </c>
      <c r="B31" s="4" t="s">
        <v>59</v>
      </c>
      <c r="C31" s="5">
        <f>SUM(C32:C34)</f>
        <v>0</v>
      </c>
      <c r="D31" s="5">
        <f>SUM(D32:D34)</f>
        <v>0</v>
      </c>
    </row>
    <row r="32" spans="1:4" ht="15.75" thickBot="1">
      <c r="A32" s="4" t="s">
        <v>60</v>
      </c>
      <c r="B32" s="4" t="s">
        <v>61</v>
      </c>
      <c r="C32" s="5"/>
      <c r="D32" s="5"/>
    </row>
    <row r="33" spans="1:4" ht="15.75" thickBot="1">
      <c r="A33" s="4" t="s">
        <v>62</v>
      </c>
      <c r="B33" s="4" t="s">
        <v>63</v>
      </c>
      <c r="C33" s="5"/>
      <c r="D33" s="5"/>
    </row>
    <row r="34" spans="1:4" ht="15.75" thickBot="1">
      <c r="A34" s="4" t="s">
        <v>64</v>
      </c>
      <c r="B34" s="4" t="s">
        <v>65</v>
      </c>
      <c r="C34" s="5"/>
      <c r="D34" s="5"/>
    </row>
    <row r="35" spans="1:4" ht="15.75" thickBot="1">
      <c r="A35" s="4" t="s">
        <v>17</v>
      </c>
      <c r="B35" s="4" t="s">
        <v>66</v>
      </c>
      <c r="C35" s="5">
        <f>SUM(C36:C38)</f>
        <v>0</v>
      </c>
      <c r="D35" s="5">
        <f>SUM(D36:D38)</f>
        <v>0</v>
      </c>
    </row>
    <row r="36" spans="1:4" ht="15.75" thickBot="1">
      <c r="A36" s="4" t="s">
        <v>67</v>
      </c>
      <c r="B36" s="4" t="s">
        <v>61</v>
      </c>
      <c r="C36" s="5"/>
      <c r="D36" s="5"/>
    </row>
    <row r="37" spans="1:4" ht="15.75" thickBot="1">
      <c r="A37" s="4" t="s">
        <v>68</v>
      </c>
      <c r="B37" s="4" t="s">
        <v>63</v>
      </c>
      <c r="C37" s="5"/>
      <c r="D37" s="5"/>
    </row>
    <row r="38" spans="1:4" ht="15.75" thickBot="1">
      <c r="A38" s="4" t="s">
        <v>69</v>
      </c>
      <c r="B38" s="4" t="s">
        <v>65</v>
      </c>
      <c r="C38" s="5"/>
      <c r="D38" s="5"/>
    </row>
    <row r="39" spans="1:4" ht="15.75" thickBot="1">
      <c r="A39" s="4" t="s">
        <v>70</v>
      </c>
      <c r="B39" s="4" t="s">
        <v>71</v>
      </c>
      <c r="C39" s="5"/>
      <c r="D39" s="5"/>
    </row>
    <row r="40" spans="1:4" ht="15.75" thickBot="1">
      <c r="A40" s="4" t="s">
        <v>70</v>
      </c>
      <c r="B40" s="4" t="s">
        <v>72</v>
      </c>
      <c r="C40" s="5">
        <f>SUM(C41:C42)</f>
        <v>0</v>
      </c>
      <c r="D40" s="5">
        <f>SUM(D41:D42)</f>
        <v>0</v>
      </c>
    </row>
    <row r="41" spans="1:4" ht="15.75" thickBot="1">
      <c r="A41" s="4" t="s">
        <v>73</v>
      </c>
      <c r="B41" s="4" t="s">
        <v>74</v>
      </c>
      <c r="C41" s="5"/>
      <c r="D41" s="5"/>
    </row>
    <row r="42" spans="1:4" ht="15.75" thickBot="1">
      <c r="A42" s="4" t="s">
        <v>75</v>
      </c>
      <c r="B42" s="4" t="s">
        <v>76</v>
      </c>
      <c r="C42" s="5"/>
      <c r="D42" s="5"/>
    </row>
    <row r="43" spans="1:4" ht="15.75" thickBot="1">
      <c r="A43" s="2" t="s">
        <v>17</v>
      </c>
      <c r="B43" s="2" t="s">
        <v>77</v>
      </c>
      <c r="C43" s="3">
        <f>C4+C5+C6+C7+C12+C15+C19+C24+C28+C29+C30+C39+C40</f>
        <v>56</v>
      </c>
      <c r="D43" s="3">
        <f>D4+D5+D6+D7+D12+D15+D19+D24+D28+D29+D30+D39+D40</f>
        <v>-353</v>
      </c>
    </row>
    <row r="44" spans="1:4" ht="15.75" thickBot="1">
      <c r="A44" s="4" t="s">
        <v>17</v>
      </c>
      <c r="B44" s="4" t="s">
        <v>78</v>
      </c>
      <c r="C44" s="5">
        <f>SUM(C45:C46)</f>
        <v>0</v>
      </c>
      <c r="D44" s="5">
        <f>SUM(D45:D46)</f>
        <v>0</v>
      </c>
    </row>
    <row r="45" spans="1:4" ht="15.75" thickBot="1">
      <c r="A45" s="4" t="s">
        <v>79</v>
      </c>
      <c r="B45" s="4" t="s">
        <v>80</v>
      </c>
      <c r="C45" s="5"/>
      <c r="D45" s="5"/>
    </row>
    <row r="46" spans="1:4" ht="15.75" thickBot="1">
      <c r="A46" s="4" t="s">
        <v>81</v>
      </c>
      <c r="B46" s="4" t="s">
        <v>82</v>
      </c>
      <c r="C46" s="5"/>
      <c r="D46" s="5"/>
    </row>
    <row r="47" spans="1:4" ht="15.75" thickBot="1">
      <c r="A47" s="4" t="s">
        <v>17</v>
      </c>
      <c r="B47" s="4" t="s">
        <v>83</v>
      </c>
      <c r="C47" s="5">
        <f>SUM(C48:C49)</f>
        <v>-1</v>
      </c>
      <c r="D47" s="5">
        <f>SUM(D48:D49)</f>
        <v>-4</v>
      </c>
    </row>
    <row r="48" spans="1:4" ht="45.75" thickBot="1">
      <c r="A48" s="4" t="s">
        <v>84</v>
      </c>
      <c r="B48" s="4" t="s">
        <v>85</v>
      </c>
      <c r="C48" s="5"/>
      <c r="D48" s="5"/>
    </row>
    <row r="49" spans="1:4" ht="57" thickBot="1">
      <c r="A49" s="4" t="s">
        <v>86</v>
      </c>
      <c r="B49" s="4" t="s">
        <v>87</v>
      </c>
      <c r="C49" s="5">
        <v>-1</v>
      </c>
      <c r="D49" s="5">
        <v>-4</v>
      </c>
    </row>
    <row r="50" spans="1:4" ht="15.75" thickBot="1">
      <c r="A50" s="4" t="s">
        <v>88</v>
      </c>
      <c r="B50" s="4" t="s">
        <v>89</v>
      </c>
      <c r="C50" s="5"/>
      <c r="D50" s="5"/>
    </row>
    <row r="51" spans="1:4" ht="15.75" thickBot="1">
      <c r="A51" s="4" t="s">
        <v>90</v>
      </c>
      <c r="B51" s="4" t="s">
        <v>91</v>
      </c>
      <c r="C51" s="5"/>
      <c r="D51" s="5"/>
    </row>
    <row r="52" spans="1:4" ht="15.75" thickBot="1">
      <c r="A52" s="4" t="s">
        <v>92</v>
      </c>
      <c r="B52" s="4" t="s">
        <v>93</v>
      </c>
      <c r="C52" s="5"/>
      <c r="D52" s="5"/>
    </row>
    <row r="53" spans="1:4" ht="23.25" thickBot="1">
      <c r="A53" s="4" t="s">
        <v>94</v>
      </c>
      <c r="B53" s="4" t="s">
        <v>95</v>
      </c>
      <c r="C53" s="5"/>
      <c r="D53" s="5"/>
    </row>
    <row r="54" spans="1:4" ht="15.75" thickBot="1">
      <c r="A54" s="4" t="s">
        <v>17</v>
      </c>
      <c r="B54" s="4" t="s">
        <v>96</v>
      </c>
      <c r="C54" s="5"/>
      <c r="D54" s="5"/>
    </row>
    <row r="55" spans="1:4" ht="15.75" thickBot="1">
      <c r="A55" s="2" t="s">
        <v>17</v>
      </c>
      <c r="B55" s="2" t="s">
        <v>97</v>
      </c>
      <c r="C55" s="3">
        <f>C44+C47+C51+C52+C53+C54</f>
        <v>-1</v>
      </c>
      <c r="D55" s="3">
        <f>D44+D47+D51+D52+D53+D54</f>
        <v>-4</v>
      </c>
    </row>
    <row r="56" spans="1:4" ht="15.75" thickBot="1">
      <c r="A56" s="2" t="s">
        <v>17</v>
      </c>
      <c r="B56" s="2" t="s">
        <v>98</v>
      </c>
      <c r="C56" s="3">
        <f>C43+C55</f>
        <v>55</v>
      </c>
      <c r="D56" s="3">
        <f>D43+D55</f>
        <v>-357</v>
      </c>
    </row>
    <row r="57" spans="1:4" ht="15.75" thickBot="1">
      <c r="A57" s="4" t="s">
        <v>99</v>
      </c>
      <c r="B57" s="4" t="s">
        <v>100</v>
      </c>
      <c r="C57" s="5"/>
      <c r="D57" s="5"/>
    </row>
    <row r="58" spans="1:4" ht="23.25" thickBot="1">
      <c r="A58" s="2" t="s">
        <v>17</v>
      </c>
      <c r="B58" s="2" t="s">
        <v>101</v>
      </c>
      <c r="C58" s="3">
        <f>C56+C57</f>
        <v>55</v>
      </c>
      <c r="D58" s="3">
        <f>D56+D57</f>
        <v>-357</v>
      </c>
    </row>
    <row r="59" spans="1:4" ht="15.75" thickBot="1">
      <c r="A59" s="6"/>
      <c r="B59" s="6" t="s">
        <v>102</v>
      </c>
      <c r="C59" s="18">
        <f>C60</f>
        <v>0</v>
      </c>
      <c r="D59" s="18">
        <f>D60</f>
        <v>0</v>
      </c>
    </row>
    <row r="60" spans="1:4" ht="15.75" thickBot="1">
      <c r="A60" s="4" t="s">
        <v>17</v>
      </c>
      <c r="B60" s="4" t="s">
        <v>103</v>
      </c>
      <c r="C60" s="5"/>
      <c r="D60" s="5"/>
    </row>
    <row r="61" spans="1:4" ht="15.75" thickBot="1">
      <c r="A61" s="4" t="s">
        <v>17</v>
      </c>
      <c r="B61" s="4" t="s">
        <v>104</v>
      </c>
      <c r="C61" s="5">
        <f>C58+C60</f>
        <v>55</v>
      </c>
      <c r="D61" s="5">
        <f>D58+D60</f>
        <v>-357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15" t="s">
        <v>6</v>
      </c>
      <c r="D2" s="15" t="s">
        <v>7</v>
      </c>
    </row>
    <row r="3" spans="1:4" ht="15.75" thickBot="1">
      <c r="A3" s="15"/>
      <c r="B3" s="15" t="s">
        <v>10</v>
      </c>
      <c r="C3" s="18">
        <f>C58</f>
        <v>96.20699999999998</v>
      </c>
      <c r="D3" s="18">
        <f>D58</f>
        <v>27.55999999999999</v>
      </c>
    </row>
    <row r="4" spans="1:4" ht="23.25" thickBot="1">
      <c r="A4" s="13" t="s">
        <v>11</v>
      </c>
      <c r="B4" s="13" t="s">
        <v>12</v>
      </c>
      <c r="C4" s="14">
        <v>424.64</v>
      </c>
      <c r="D4" s="14">
        <v>455.14</v>
      </c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0</v>
      </c>
      <c r="D7" s="14">
        <f>SUM(D8:D11)</f>
        <v>-0.3</v>
      </c>
    </row>
    <row r="8" spans="1:4" ht="15.75" thickBot="1">
      <c r="A8" s="13" t="s">
        <v>19</v>
      </c>
      <c r="B8" s="13" t="s">
        <v>20</v>
      </c>
      <c r="C8" s="14"/>
      <c r="D8" s="14">
        <v>-0.3</v>
      </c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34.99</v>
      </c>
      <c r="D12" s="14">
        <f>SUM(D13:D14)</f>
        <v>23.5</v>
      </c>
    </row>
    <row r="13" spans="1:4" ht="15.75" thickBot="1">
      <c r="A13" s="13" t="s">
        <v>28</v>
      </c>
      <c r="B13" s="13" t="s">
        <v>29</v>
      </c>
      <c r="C13" s="14">
        <v>34.99</v>
      </c>
      <c r="D13" s="14">
        <v>23.5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-73.92</v>
      </c>
      <c r="D15" s="14">
        <f>SUM(D16:D18)</f>
        <v>-82.49</v>
      </c>
    </row>
    <row r="16" spans="1:4" ht="15.75" thickBot="1">
      <c r="A16" s="13" t="s">
        <v>33</v>
      </c>
      <c r="B16" s="13" t="s">
        <v>34</v>
      </c>
      <c r="C16" s="14">
        <v>-54.75</v>
      </c>
      <c r="D16" s="14">
        <v>-62.61</v>
      </c>
    </row>
    <row r="17" spans="1:4" ht="15.75" thickBot="1">
      <c r="A17" s="13" t="s">
        <v>35</v>
      </c>
      <c r="B17" s="13" t="s">
        <v>36</v>
      </c>
      <c r="C17" s="14">
        <v>-19.17</v>
      </c>
      <c r="D17" s="14">
        <v>-19.88</v>
      </c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-267.13</v>
      </c>
      <c r="D19" s="14">
        <f>SUM(D20:D23)</f>
        <v>-344.34</v>
      </c>
    </row>
    <row r="20" spans="1:4" ht="34.5" thickBot="1">
      <c r="A20" s="13" t="s">
        <v>40</v>
      </c>
      <c r="B20" s="13" t="s">
        <v>41</v>
      </c>
      <c r="C20" s="14">
        <v>-267.13</v>
      </c>
      <c r="D20" s="14">
        <v>-344.34</v>
      </c>
    </row>
    <row r="21" spans="1:4" ht="15.75" thickBot="1">
      <c r="A21" s="13" t="s">
        <v>42</v>
      </c>
      <c r="B21" s="13" t="s">
        <v>43</v>
      </c>
      <c r="C21" s="14"/>
      <c r="D21" s="14"/>
    </row>
    <row r="22" spans="1:4" ht="15.75" thickBot="1">
      <c r="A22" s="13" t="s">
        <v>44</v>
      </c>
      <c r="B22" s="13" t="s">
        <v>45</v>
      </c>
      <c r="C22" s="14"/>
      <c r="D22" s="14"/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-20.76</v>
      </c>
      <c r="D24" s="14">
        <f>SUM(D25:D27)</f>
        <v>-22.32</v>
      </c>
    </row>
    <row r="25" spans="1:4" ht="15.75" thickBot="1">
      <c r="A25" s="13" t="s">
        <v>49</v>
      </c>
      <c r="B25" s="13" t="s">
        <v>50</v>
      </c>
      <c r="C25" s="14"/>
      <c r="D25" s="14"/>
    </row>
    <row r="26" spans="1:4" ht="15.75" thickBot="1">
      <c r="A26" s="13" t="s">
        <v>51</v>
      </c>
      <c r="B26" s="13" t="s">
        <v>52</v>
      </c>
      <c r="C26" s="14">
        <v>-20.76</v>
      </c>
      <c r="D26" s="14">
        <v>-22.32</v>
      </c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/>
      <c r="D28" s="14"/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0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0.21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>
        <v>0.21</v>
      </c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97.81999999999998</v>
      </c>
      <c r="D43" s="12">
        <f>D4+D5+D6+D7+D12+D15+D19+D24+D28+D29+D30+D39+D40</f>
        <v>29.39999999999999</v>
      </c>
    </row>
    <row r="44" spans="1:4" ht="15.75" thickBot="1">
      <c r="A44" s="13" t="s">
        <v>17</v>
      </c>
      <c r="B44" s="13" t="s">
        <v>78</v>
      </c>
      <c r="C44" s="14">
        <f>SUM(C45:C46)</f>
        <v>0.007</v>
      </c>
      <c r="D44" s="14">
        <f>SUM(D45:D46)</f>
        <v>0.04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>
        <v>0.007</v>
      </c>
      <c r="D46" s="14">
        <v>0.04</v>
      </c>
    </row>
    <row r="47" spans="1:4" ht="15.75" thickBot="1">
      <c r="A47" s="13" t="s">
        <v>17</v>
      </c>
      <c r="B47" s="13" t="s">
        <v>83</v>
      </c>
      <c r="C47" s="14">
        <f>SUM(C48:C50)</f>
        <v>-1.62</v>
      </c>
      <c r="D47" s="14">
        <f>SUM(D48:D50)</f>
        <v>-1.88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>
        <v>-1.62</v>
      </c>
      <c r="D49" s="14">
        <v>-1.88</v>
      </c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-1.6130000000000002</v>
      </c>
      <c r="D55" s="12">
        <f>D44+D47+D51+D52+D53+D54</f>
        <v>-1.8399999999999999</v>
      </c>
    </row>
    <row r="56" spans="1:4" ht="15.75" thickBot="1">
      <c r="A56" s="11" t="s">
        <v>17</v>
      </c>
      <c r="B56" s="11" t="s">
        <v>98</v>
      </c>
      <c r="C56" s="12">
        <f>C43+C55</f>
        <v>96.20699999999998</v>
      </c>
      <c r="D56" s="12">
        <f>D43+D55</f>
        <v>27.55999999999999</v>
      </c>
    </row>
    <row r="57" spans="1:4" ht="15.75" thickBot="1">
      <c r="A57" s="13" t="s">
        <v>99</v>
      </c>
      <c r="B57" s="13" t="s">
        <v>100</v>
      </c>
      <c r="C57" s="14"/>
      <c r="D57" s="14"/>
    </row>
    <row r="58" spans="1:4" ht="23.25" thickBot="1">
      <c r="A58" s="11" t="s">
        <v>17</v>
      </c>
      <c r="B58" s="11" t="s">
        <v>101</v>
      </c>
      <c r="C58" s="12">
        <f>C56+C57</f>
        <v>96.20699999999998</v>
      </c>
      <c r="D58" s="12">
        <f>D56+D57</f>
        <v>27.55999999999999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96.20699999999998</v>
      </c>
      <c r="D61" s="14">
        <f>D58+D60</f>
        <v>27.55999999999999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15" t="s">
        <v>6</v>
      </c>
      <c r="D2" s="15" t="s">
        <v>7</v>
      </c>
    </row>
    <row r="3" spans="1:4" ht="15.75" thickBot="1">
      <c r="A3" s="15"/>
      <c r="B3" s="15" t="s">
        <v>10</v>
      </c>
      <c r="C3" s="18">
        <f>C58</f>
        <v>-311</v>
      </c>
      <c r="D3" s="18">
        <f>D58</f>
        <v>-2490</v>
      </c>
    </row>
    <row r="4" spans="1:4" ht="23.25" thickBot="1">
      <c r="A4" s="13" t="s">
        <v>11</v>
      </c>
      <c r="B4" s="13" t="s">
        <v>12</v>
      </c>
      <c r="C4" s="14">
        <v>1732</v>
      </c>
      <c r="D4" s="14">
        <v>6886</v>
      </c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-548</v>
      </c>
      <c r="D7" s="14">
        <f>SUM(D8:D11)</f>
        <v>-2529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/>
      <c r="D9" s="14"/>
    </row>
    <row r="10" spans="1:4" ht="15.75" thickBot="1">
      <c r="A10" s="13" t="s">
        <v>23</v>
      </c>
      <c r="B10" s="13" t="s">
        <v>24</v>
      </c>
      <c r="C10" s="14">
        <v>-548</v>
      </c>
      <c r="D10" s="14">
        <v>-2529</v>
      </c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77</v>
      </c>
      <c r="D12" s="14">
        <f>SUM(D13:D14)</f>
        <v>187</v>
      </c>
    </row>
    <row r="13" spans="1:4" ht="15.75" thickBot="1">
      <c r="A13" s="13" t="s">
        <v>28</v>
      </c>
      <c r="B13" s="13" t="s">
        <v>29</v>
      </c>
      <c r="C13" s="14">
        <v>19</v>
      </c>
      <c r="D13" s="14">
        <v>103</v>
      </c>
    </row>
    <row r="14" spans="1:4" ht="15.75" thickBot="1">
      <c r="A14" s="13" t="s">
        <v>30</v>
      </c>
      <c r="B14" s="13" t="s">
        <v>31</v>
      </c>
      <c r="C14" s="14">
        <v>58</v>
      </c>
      <c r="D14" s="14">
        <v>84</v>
      </c>
    </row>
    <row r="15" spans="1:4" ht="15.75" thickBot="1">
      <c r="A15" s="13" t="s">
        <v>17</v>
      </c>
      <c r="B15" s="13" t="s">
        <v>32</v>
      </c>
      <c r="C15" s="14">
        <f>SUM(C16:C18)</f>
        <v>-283</v>
      </c>
      <c r="D15" s="14">
        <f>SUM(D16:D18)</f>
        <v>-1250</v>
      </c>
    </row>
    <row r="16" spans="1:4" ht="15.75" thickBot="1">
      <c r="A16" s="13" t="s">
        <v>33</v>
      </c>
      <c r="B16" s="13" t="s">
        <v>34</v>
      </c>
      <c r="C16" s="14">
        <v>-213</v>
      </c>
      <c r="D16" s="14">
        <v>-986</v>
      </c>
    </row>
    <row r="17" spans="1:4" ht="15.75" thickBot="1">
      <c r="A17" s="13" t="s">
        <v>35</v>
      </c>
      <c r="B17" s="13" t="s">
        <v>36</v>
      </c>
      <c r="C17" s="14">
        <v>-70</v>
      </c>
      <c r="D17" s="14">
        <v>-264</v>
      </c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-1064</v>
      </c>
      <c r="D19" s="14">
        <f>SUM(D20:D23)</f>
        <v>-4270</v>
      </c>
    </row>
    <row r="20" spans="1:4" ht="34.5" thickBot="1">
      <c r="A20" s="13" t="s">
        <v>40</v>
      </c>
      <c r="B20" s="13" t="s">
        <v>41</v>
      </c>
      <c r="C20" s="14">
        <v>-117</v>
      </c>
      <c r="D20" s="14">
        <v>-891</v>
      </c>
    </row>
    <row r="21" spans="1:4" ht="15.75" thickBot="1">
      <c r="A21" s="13" t="s">
        <v>42</v>
      </c>
      <c r="B21" s="13" t="s">
        <v>43</v>
      </c>
      <c r="C21" s="14">
        <v>-79</v>
      </c>
      <c r="D21" s="14">
        <v>-304</v>
      </c>
    </row>
    <row r="22" spans="1:4" ht="15.75" thickBot="1">
      <c r="A22" s="13" t="s">
        <v>44</v>
      </c>
      <c r="B22" s="13" t="s">
        <v>45</v>
      </c>
      <c r="C22" s="14">
        <v>-868</v>
      </c>
      <c r="D22" s="14">
        <v>-3075</v>
      </c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-670</v>
      </c>
      <c r="D24" s="14">
        <f>SUM(D25:D27)</f>
        <v>-3019</v>
      </c>
    </row>
    <row r="25" spans="1:4" ht="15.75" thickBot="1">
      <c r="A25" s="13" t="s">
        <v>49</v>
      </c>
      <c r="B25" s="13" t="s">
        <v>50</v>
      </c>
      <c r="C25" s="14">
        <v>-5</v>
      </c>
      <c r="D25" s="14">
        <v>-23</v>
      </c>
    </row>
    <row r="26" spans="1:4" ht="15.75" thickBot="1">
      <c r="A26" s="13" t="s">
        <v>51</v>
      </c>
      <c r="B26" s="13" t="s">
        <v>52</v>
      </c>
      <c r="C26" s="14">
        <v>-665</v>
      </c>
      <c r="D26" s="14">
        <v>-2996</v>
      </c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>
        <v>445</v>
      </c>
      <c r="D28" s="14">
        <v>2101</v>
      </c>
    </row>
    <row r="29" spans="1:4" ht="15.75" thickBot="1">
      <c r="A29" s="13" t="s">
        <v>56</v>
      </c>
      <c r="B29" s="13" t="s">
        <v>57</v>
      </c>
      <c r="C29" s="14"/>
      <c r="D29" s="14"/>
    </row>
    <row r="30" spans="1:4" ht="15.75" thickBot="1">
      <c r="A30" s="13" t="s">
        <v>17</v>
      </c>
      <c r="B30" s="13" t="s">
        <v>58</v>
      </c>
      <c r="C30" s="14">
        <f>C31+C35</f>
        <v>2</v>
      </c>
      <c r="D30" s="14">
        <f>D31+D35</f>
        <v>6</v>
      </c>
    </row>
    <row r="31" spans="1:4" ht="15.75" thickBot="1">
      <c r="A31" s="13" t="s">
        <v>17</v>
      </c>
      <c r="B31" s="13" t="s">
        <v>59</v>
      </c>
      <c r="C31" s="14">
        <f>SUM(C32:C34)</f>
        <v>2</v>
      </c>
      <c r="D31" s="14">
        <f>SUM(D32:D34)</f>
        <v>6</v>
      </c>
    </row>
    <row r="32" spans="1:4" ht="15.75" thickBot="1">
      <c r="A32" s="13" t="s">
        <v>60</v>
      </c>
      <c r="B32" s="13" t="s">
        <v>61</v>
      </c>
      <c r="C32" s="14">
        <v>2</v>
      </c>
      <c r="D32" s="14">
        <v>6</v>
      </c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/>
      <c r="D37" s="14"/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+D41</f>
        <v>-593</v>
      </c>
    </row>
    <row r="41" spans="1:4" ht="15.75" thickBot="1">
      <c r="A41" s="13" t="s">
        <v>73</v>
      </c>
      <c r="B41" s="13" t="s">
        <v>74</v>
      </c>
      <c r="C41" s="14">
        <v>0</v>
      </c>
      <c r="D41" s="14">
        <v>-593</v>
      </c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-309</v>
      </c>
      <c r="D43" s="12">
        <f>D4+D5+D6+D7+D12+D15+D19+D24+D28+D29+D30+D39+D40</f>
        <v>-2481</v>
      </c>
    </row>
    <row r="44" spans="1:4" ht="15.75" thickBot="1">
      <c r="A44" s="13" t="s">
        <v>17</v>
      </c>
      <c r="B44" s="13" t="s">
        <v>78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/>
      <c r="D46" s="14"/>
    </row>
    <row r="47" spans="1:4" ht="15.75" thickBot="1">
      <c r="A47" s="13" t="s">
        <v>17</v>
      </c>
      <c r="B47" s="13" t="s">
        <v>83</v>
      </c>
      <c r="C47" s="14">
        <f>SUM(C48:C50)</f>
        <v>-2</v>
      </c>
      <c r="D47" s="14">
        <f>SUM(D48:D50)</f>
        <v>-9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>
        <v>-2</v>
      </c>
      <c r="D49" s="14">
        <v>-9</v>
      </c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-2</v>
      </c>
      <c r="D55" s="12">
        <f>D44+D47+D51+D52+D53+D54</f>
        <v>-9</v>
      </c>
    </row>
    <row r="56" spans="1:4" ht="15.75" thickBot="1">
      <c r="A56" s="11" t="s">
        <v>17</v>
      </c>
      <c r="B56" s="11" t="s">
        <v>98</v>
      </c>
      <c r="C56" s="12">
        <f>C43+C55</f>
        <v>-311</v>
      </c>
      <c r="D56" s="12">
        <f>D43+D55</f>
        <v>-2490</v>
      </c>
    </row>
    <row r="57" spans="1:4" ht="15.75" thickBot="1">
      <c r="A57" s="13" t="s">
        <v>99</v>
      </c>
      <c r="B57" s="13" t="s">
        <v>100</v>
      </c>
      <c r="C57" s="14"/>
      <c r="D57" s="14"/>
    </row>
    <row r="58" spans="1:4" ht="32.25" customHeight="1" thickBot="1">
      <c r="A58" s="11" t="s">
        <v>17</v>
      </c>
      <c r="B58" s="11" t="s">
        <v>101</v>
      </c>
      <c r="C58" s="12">
        <f>C56+C57</f>
        <v>-311</v>
      </c>
      <c r="D58" s="12">
        <f>D56+D57</f>
        <v>-2490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-311</v>
      </c>
      <c r="D61" s="14">
        <f>D58+D60</f>
        <v>-2490</v>
      </c>
    </row>
    <row r="62" spans="3:4" ht="15">
      <c r="C62" s="30"/>
      <c r="D62" s="30"/>
    </row>
    <row r="63" spans="3:4" ht="15">
      <c r="C63" s="20"/>
      <c r="D63" s="20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7.00390625" style="0" customWidth="1"/>
    <col min="4" max="4" width="15.2812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42">
        <v>42795</v>
      </c>
      <c r="D2" s="42">
        <v>42705</v>
      </c>
    </row>
    <row r="3" spans="1:4" ht="15.75" thickBot="1">
      <c r="A3" s="15"/>
      <c r="B3" s="15" t="s">
        <v>10</v>
      </c>
      <c r="C3" s="18">
        <f>C58</f>
        <v>347.04022</v>
      </c>
      <c r="D3" s="18">
        <f>D58</f>
        <v>105.30174000000031</v>
      </c>
    </row>
    <row r="4" spans="1:4" ht="23.25" thickBot="1">
      <c r="A4" s="13" t="s">
        <v>11</v>
      </c>
      <c r="B4" s="13" t="s">
        <v>12</v>
      </c>
      <c r="C4" s="14">
        <v>1740.40623</v>
      </c>
      <c r="D4" s="14">
        <v>4343.3742</v>
      </c>
    </row>
    <row r="5" spans="1:4" ht="15.75" thickBot="1">
      <c r="A5" s="13" t="s">
        <v>13</v>
      </c>
      <c r="B5" s="13" t="s">
        <v>14</v>
      </c>
      <c r="C5" s="14">
        <v>-49.06658</v>
      </c>
      <c r="D5" s="14">
        <v>3.26275</v>
      </c>
    </row>
    <row r="6" spans="1:4" ht="15.75" thickBot="1">
      <c r="A6" s="13" t="s">
        <v>15</v>
      </c>
      <c r="B6" s="13" t="s">
        <v>16</v>
      </c>
      <c r="C6" s="14"/>
      <c r="D6" s="14"/>
    </row>
    <row r="7" spans="1:4" ht="15.75" thickBot="1">
      <c r="A7" s="13" t="s">
        <v>17</v>
      </c>
      <c r="B7" s="13" t="s">
        <v>18</v>
      </c>
      <c r="C7" s="14">
        <f>SUM(C8:C11)</f>
        <v>-8.15174</v>
      </c>
      <c r="D7" s="14">
        <f>SUM(D8:D11)</f>
        <v>-10.507969999999998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>
        <v>-8.15174</v>
      </c>
      <c r="D9" s="14">
        <v>-10.507969999999998</v>
      </c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/>
      <c r="D11" s="14"/>
    </row>
    <row r="12" spans="1:4" ht="15.75" thickBot="1">
      <c r="A12" s="13" t="s">
        <v>17</v>
      </c>
      <c r="B12" s="13" t="s">
        <v>27</v>
      </c>
      <c r="C12" s="14">
        <f>SUM(C13:C14)</f>
        <v>0.6</v>
      </c>
      <c r="D12" s="14">
        <f>SUM(D13:D14)</f>
        <v>54.96861</v>
      </c>
    </row>
    <row r="13" spans="1:4" ht="15.75" thickBot="1">
      <c r="A13" s="13" t="s">
        <v>28</v>
      </c>
      <c r="B13" s="13" t="s">
        <v>29</v>
      </c>
      <c r="C13" s="14">
        <v>0.6</v>
      </c>
      <c r="D13" s="14">
        <v>54.96861</v>
      </c>
    </row>
    <row r="14" spans="1:4" ht="15.75" thickBot="1">
      <c r="A14" s="13" t="s">
        <v>30</v>
      </c>
      <c r="B14" s="13" t="s">
        <v>31</v>
      </c>
      <c r="C14" s="14"/>
      <c r="D14" s="14"/>
    </row>
    <row r="15" spans="1:4" ht="15.75" thickBot="1">
      <c r="A15" s="13" t="s">
        <v>17</v>
      </c>
      <c r="B15" s="13" t="s">
        <v>32</v>
      </c>
      <c r="C15" s="14">
        <f>SUM(C16:C18)</f>
        <v>-218.91633000000002</v>
      </c>
      <c r="D15" s="14">
        <f>SUM(D16:D18)</f>
        <v>-852.6575399999999</v>
      </c>
    </row>
    <row r="16" spans="1:4" ht="15.75" thickBot="1">
      <c r="A16" s="13" t="s">
        <v>33</v>
      </c>
      <c r="B16" s="13" t="s">
        <v>34</v>
      </c>
      <c r="C16" s="14">
        <v>-163.72654</v>
      </c>
      <c r="D16" s="14">
        <v>-636.43373</v>
      </c>
    </row>
    <row r="17" spans="1:4" ht="15.75" thickBot="1">
      <c r="A17" s="13" t="s">
        <v>35</v>
      </c>
      <c r="B17" s="13" t="s">
        <v>36</v>
      </c>
      <c r="C17" s="14">
        <v>-55.18979</v>
      </c>
      <c r="D17" s="14">
        <v>-216.22381</v>
      </c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-460.96546</v>
      </c>
      <c r="D19" s="14">
        <f>SUM(D20:D23)</f>
        <v>-1228.8901099999998</v>
      </c>
    </row>
    <row r="20" spans="1:4" ht="34.5" thickBot="1">
      <c r="A20" s="13" t="s">
        <v>40</v>
      </c>
      <c r="B20" s="13" t="s">
        <v>41</v>
      </c>
      <c r="C20" s="14">
        <v>-324.0512</v>
      </c>
      <c r="D20" s="14">
        <v>-953.852</v>
      </c>
    </row>
    <row r="21" spans="1:4" ht="15.75" thickBot="1">
      <c r="A21" s="13" t="s">
        <v>42</v>
      </c>
      <c r="B21" s="13" t="s">
        <v>43</v>
      </c>
      <c r="C21" s="14">
        <v>-136.91426</v>
      </c>
      <c r="D21" s="14">
        <v>-275.03810999999996</v>
      </c>
    </row>
    <row r="22" spans="1:4" ht="15.75" thickBot="1">
      <c r="A22" s="13" t="s">
        <v>44</v>
      </c>
      <c r="B22" s="13" t="s">
        <v>45</v>
      </c>
      <c r="C22" s="14"/>
      <c r="D22" s="14"/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-480.30735000000004</v>
      </c>
      <c r="D24" s="14">
        <f>SUM(D25:D27)</f>
        <v>-1928.41224</v>
      </c>
    </row>
    <row r="25" spans="1:4" ht="15.75" thickBot="1">
      <c r="A25" s="13" t="s">
        <v>49</v>
      </c>
      <c r="B25" s="13" t="s">
        <v>50</v>
      </c>
      <c r="C25" s="14">
        <v>-118.54625999999999</v>
      </c>
      <c r="D25" s="14">
        <v>-474.19614</v>
      </c>
    </row>
    <row r="26" spans="1:4" ht="15.75" thickBot="1">
      <c r="A26" s="13" t="s">
        <v>51</v>
      </c>
      <c r="B26" s="13" t="s">
        <v>52</v>
      </c>
      <c r="C26" s="14">
        <v>-361.76109</v>
      </c>
      <c r="D26" s="14">
        <v>-1454.2161</v>
      </c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13" t="s">
        <v>17</v>
      </c>
      <c r="B28" s="13" t="s">
        <v>55</v>
      </c>
      <c r="C28" s="14">
        <v>8.9085</v>
      </c>
      <c r="D28" s="14">
        <v>35.634</v>
      </c>
    </row>
    <row r="29" spans="1:4" ht="15.75" thickBot="1">
      <c r="A29" s="13" t="s">
        <v>56</v>
      </c>
      <c r="B29" s="13" t="s">
        <v>57</v>
      </c>
      <c r="C29" s="14">
        <v>0</v>
      </c>
      <c r="D29" s="14">
        <v>169.34628</v>
      </c>
    </row>
    <row r="30" spans="1:4" ht="15.75" thickBot="1">
      <c r="A30" s="13" t="s">
        <v>17</v>
      </c>
      <c r="B30" s="13" t="s">
        <v>58</v>
      </c>
      <c r="C30" s="14">
        <f>C31+C35</f>
        <v>0</v>
      </c>
      <c r="D30" s="14">
        <f>D31+D35</f>
        <v>-152.57120999999998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0</v>
      </c>
      <c r="D35" s="14">
        <f>SUM(D36:D38)</f>
        <v>-152.57120999999998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>
        <v>0</v>
      </c>
      <c r="D37" s="14">
        <v>-152.57120999999998</v>
      </c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73</v>
      </c>
      <c r="B41" s="13" t="s">
        <v>74</v>
      </c>
      <c r="C41" s="14"/>
      <c r="D41" s="14"/>
    </row>
    <row r="42" spans="1:4" ht="15.75" thickBot="1">
      <c r="A42" s="13" t="s">
        <v>75</v>
      </c>
      <c r="B42" s="13" t="s">
        <v>76</v>
      </c>
      <c r="C42" s="14"/>
      <c r="D42" s="14"/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532.50727</v>
      </c>
      <c r="D43" s="12">
        <f>D4+D5+D6+D7+D12+D15+D19+D24+D28+D29+D30+D39+D40</f>
        <v>433.54677000000027</v>
      </c>
    </row>
    <row r="44" spans="1:4" ht="15.75" thickBot="1">
      <c r="A44" s="13" t="s">
        <v>17</v>
      </c>
      <c r="B44" s="13" t="s">
        <v>78</v>
      </c>
      <c r="C44" s="14">
        <f>SUM(C45:C46)</f>
        <v>0.10574</v>
      </c>
      <c r="D44" s="14">
        <f>SUM(D45:D46)</f>
        <v>2.64364</v>
      </c>
    </row>
    <row r="45" spans="1:4" ht="15.75" thickBot="1">
      <c r="A45" s="13" t="s">
        <v>79</v>
      </c>
      <c r="B45" s="13" t="s">
        <v>80</v>
      </c>
      <c r="C45" s="14"/>
      <c r="D45" s="14"/>
    </row>
    <row r="46" spans="1:4" ht="15.75" thickBot="1">
      <c r="A46" s="13" t="s">
        <v>81</v>
      </c>
      <c r="B46" s="13" t="s">
        <v>82</v>
      </c>
      <c r="C46" s="14">
        <v>0.10574</v>
      </c>
      <c r="D46" s="14">
        <v>2.64364</v>
      </c>
    </row>
    <row r="47" spans="1:4" ht="15.75" thickBot="1">
      <c r="A47" s="13" t="s">
        <v>17</v>
      </c>
      <c r="B47" s="13" t="s">
        <v>83</v>
      </c>
      <c r="C47" s="14">
        <f>SUM(C48:C50)</f>
        <v>-69.89271000000001</v>
      </c>
      <c r="D47" s="14">
        <f>SUM(D48:D50)</f>
        <v>-294.87023999999997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/>
      <c r="D49" s="14"/>
    </row>
    <row r="50" spans="1:4" ht="15.75" thickBot="1">
      <c r="A50" s="13" t="s">
        <v>88</v>
      </c>
      <c r="B50" s="13" t="s">
        <v>89</v>
      </c>
      <c r="C50" s="14">
        <v>-69.89271000000001</v>
      </c>
      <c r="D50" s="14">
        <v>-294.87023999999997</v>
      </c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/>
      <c r="D52" s="14"/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-69.78697000000001</v>
      </c>
      <c r="D55" s="12">
        <f>D44+D47+D51+D52+D53+D54</f>
        <v>-292.22659999999996</v>
      </c>
    </row>
    <row r="56" spans="1:4" ht="15.75" thickBot="1">
      <c r="A56" s="11" t="s">
        <v>17</v>
      </c>
      <c r="B56" s="11" t="s">
        <v>98</v>
      </c>
      <c r="C56" s="12">
        <f>C43+C55</f>
        <v>462.72029999999995</v>
      </c>
      <c r="D56" s="12">
        <f>D43+D55</f>
        <v>141.3201700000003</v>
      </c>
    </row>
    <row r="57" spans="1:4" ht="15.75" thickBot="1">
      <c r="A57" s="13" t="s">
        <v>99</v>
      </c>
      <c r="B57" s="13" t="s">
        <v>100</v>
      </c>
      <c r="C57" s="14">
        <v>-115.68008</v>
      </c>
      <c r="D57" s="14">
        <v>-36.01843</v>
      </c>
    </row>
    <row r="58" spans="1:4" ht="23.25" thickBot="1">
      <c r="A58" s="11" t="s">
        <v>17</v>
      </c>
      <c r="B58" s="11" t="s">
        <v>101</v>
      </c>
      <c r="C58" s="12">
        <f>C56+C57</f>
        <v>347.04022</v>
      </c>
      <c r="D58" s="12">
        <f>D56+D57</f>
        <v>105.30174000000031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347.04022</v>
      </c>
      <c r="D61" s="14">
        <f>D58+D60</f>
        <v>105.30174000000031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2" sqref="A2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9.421875" style="0" customWidth="1"/>
    <col min="4" max="4" width="15.28125" style="0" bestFit="1" customWidth="1"/>
  </cols>
  <sheetData>
    <row r="1" spans="1:4" ht="54.7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42">
        <v>42795</v>
      </c>
      <c r="D2" s="42">
        <v>42705</v>
      </c>
    </row>
    <row r="3" spans="1:4" ht="15.75" thickBot="1">
      <c r="A3" s="15"/>
      <c r="B3" s="15" t="s">
        <v>10</v>
      </c>
      <c r="C3" s="18">
        <f>C58</f>
        <v>638.9918599999997</v>
      </c>
      <c r="D3" s="18">
        <f>D58</f>
        <v>658.5670400000033</v>
      </c>
    </row>
    <row r="4" spans="1:4" ht="23.25" thickBot="1">
      <c r="A4" s="13" t="s">
        <v>11</v>
      </c>
      <c r="B4" s="13" t="s">
        <v>12</v>
      </c>
      <c r="C4" s="14">
        <f>8232589.51/1000</f>
        <v>8232.58951</v>
      </c>
      <c r="D4" s="14">
        <f>33957963.72/1000</f>
        <v>33957.96372</v>
      </c>
    </row>
    <row r="5" spans="1:4" ht="15.75" thickBot="1">
      <c r="A5" s="13" t="s">
        <v>13</v>
      </c>
      <c r="B5" s="13" t="s">
        <v>14</v>
      </c>
      <c r="C5" s="14">
        <v>0</v>
      </c>
      <c r="D5" s="14">
        <v>0</v>
      </c>
    </row>
    <row r="6" spans="1:4" ht="15.75" thickBot="1">
      <c r="A6" s="13" t="s">
        <v>15</v>
      </c>
      <c r="B6" s="13" t="s">
        <v>16</v>
      </c>
      <c r="C6" s="14">
        <v>0</v>
      </c>
      <c r="D6" s="14">
        <v>0</v>
      </c>
    </row>
    <row r="7" spans="1:4" ht="15.75" thickBot="1">
      <c r="A7" s="13" t="s">
        <v>17</v>
      </c>
      <c r="B7" s="13" t="s">
        <v>18</v>
      </c>
      <c r="C7" s="14">
        <f>SUM(C8:C11)</f>
        <v>-2828.71308</v>
      </c>
      <c r="D7" s="14">
        <f>SUM(D8:D11)</f>
        <v>-13848.898259999998</v>
      </c>
    </row>
    <row r="8" spans="1:4" ht="15.75" thickBot="1">
      <c r="A8" s="13" t="s">
        <v>19</v>
      </c>
      <c r="B8" s="13" t="s">
        <v>20</v>
      </c>
      <c r="C8" s="14">
        <f>-179957.27/1000</f>
        <v>-179.95727</v>
      </c>
      <c r="D8" s="14">
        <f>-786184.92/1000</f>
        <v>-786.18492</v>
      </c>
    </row>
    <row r="9" spans="1:4" ht="34.5" thickBot="1">
      <c r="A9" s="13" t="s">
        <v>21</v>
      </c>
      <c r="B9" s="13" t="s">
        <v>22</v>
      </c>
      <c r="C9" s="14">
        <f>-659585.34/1000</f>
        <v>-659.58534</v>
      </c>
      <c r="D9" s="14">
        <f>+(-3900173.28/1000)-D8</f>
        <v>-3113.98836</v>
      </c>
    </row>
    <row r="10" spans="1:4" ht="15.75" thickBot="1">
      <c r="A10" s="13" t="s">
        <v>23</v>
      </c>
      <c r="B10" s="13" t="s">
        <v>24</v>
      </c>
      <c r="C10" s="14">
        <f>-1989565.22/1000</f>
        <v>-1989.56522</v>
      </c>
      <c r="D10" s="14">
        <f>-9949100.82/1000</f>
        <v>-9949.10082</v>
      </c>
    </row>
    <row r="11" spans="1:4" ht="23.25" thickBot="1">
      <c r="A11" s="13" t="s">
        <v>25</v>
      </c>
      <c r="B11" s="13" t="s">
        <v>26</v>
      </c>
      <c r="C11" s="14">
        <f>394.75/1000</f>
        <v>0.39475</v>
      </c>
      <c r="D11" s="14">
        <f>375.84/1000</f>
        <v>0.37583999999999995</v>
      </c>
    </row>
    <row r="12" spans="1:4" ht="15.75" thickBot="1">
      <c r="A12" s="13" t="s">
        <v>17</v>
      </c>
      <c r="B12" s="13" t="s">
        <v>27</v>
      </c>
      <c r="C12" s="14">
        <f>SUM(C13:C14)</f>
        <v>2.81475</v>
      </c>
      <c r="D12" s="14">
        <f>SUM(D13:D14)</f>
        <v>42.25008999999999</v>
      </c>
    </row>
    <row r="13" spans="1:4" ht="15.75" thickBot="1">
      <c r="A13" s="13" t="s">
        <v>28</v>
      </c>
      <c r="B13" s="13" t="s">
        <v>29</v>
      </c>
      <c r="C13" s="14">
        <f>2814.75/1000</f>
        <v>2.81475</v>
      </c>
      <c r="D13" s="14">
        <f>42250.09/1000</f>
        <v>42.25008999999999</v>
      </c>
    </row>
    <row r="14" spans="1:4" ht="15.75" thickBot="1">
      <c r="A14" s="13" t="s">
        <v>30</v>
      </c>
      <c r="B14" s="13" t="s">
        <v>31</v>
      </c>
      <c r="C14" s="14">
        <v>0</v>
      </c>
      <c r="D14" s="14">
        <v>0</v>
      </c>
    </row>
    <row r="15" spans="1:4" ht="15.75" thickBot="1">
      <c r="A15" s="13" t="s">
        <v>17</v>
      </c>
      <c r="B15" s="13" t="s">
        <v>32</v>
      </c>
      <c r="C15" s="14">
        <f>SUM(C16:C18)</f>
        <v>-3744.1417</v>
      </c>
      <c r="D15" s="14">
        <f>SUM(D16:D18)</f>
        <v>-15470.34886</v>
      </c>
    </row>
    <row r="16" spans="1:4" ht="15.75" thickBot="1">
      <c r="A16" s="13" t="s">
        <v>33</v>
      </c>
      <c r="B16" s="13" t="s">
        <v>34</v>
      </c>
      <c r="C16" s="14">
        <f>-2804133.36/1000</f>
        <v>-2804.13336</v>
      </c>
      <c r="D16" s="29">
        <f>-10846404.58/1000</f>
        <v>-10846.40458</v>
      </c>
    </row>
    <row r="17" spans="1:4" ht="15.75" thickBot="1">
      <c r="A17" s="13" t="s">
        <v>35</v>
      </c>
      <c r="B17" s="13" t="s">
        <v>36</v>
      </c>
      <c r="C17" s="14">
        <f>-956348.66/1000</f>
        <v>-956.34866</v>
      </c>
      <c r="D17" s="29">
        <f>-4039540.18/1000</f>
        <v>-4039.54018</v>
      </c>
    </row>
    <row r="18" spans="1:4" ht="15.75" thickBot="1">
      <c r="A18" s="13" t="s">
        <v>37</v>
      </c>
      <c r="B18" s="13" t="s">
        <v>38</v>
      </c>
      <c r="C18" s="14">
        <f>16340.32/1000</f>
        <v>16.34032</v>
      </c>
      <c r="D18" s="29">
        <f>-584404.1/1000</f>
        <v>-584.4041</v>
      </c>
    </row>
    <row r="19" spans="1:4" ht="15.75" thickBot="1">
      <c r="A19" s="13" t="s">
        <v>17</v>
      </c>
      <c r="B19" s="13" t="s">
        <v>39</v>
      </c>
      <c r="C19" s="14">
        <f>SUM(C20:C23)</f>
        <v>-735.16639</v>
      </c>
      <c r="D19" s="14">
        <f>SUM(D20:D23)</f>
        <v>-3094.0711499999998</v>
      </c>
    </row>
    <row r="20" spans="1:4" ht="34.5" thickBot="1">
      <c r="A20" s="13" t="s">
        <v>40</v>
      </c>
      <c r="B20" s="13" t="s">
        <v>41</v>
      </c>
      <c r="C20" s="14">
        <f>-638449.44/1000</f>
        <v>-638.44944</v>
      </c>
      <c r="D20" s="14">
        <f>-2682355.3/1000</f>
        <v>-2682.3552999999997</v>
      </c>
    </row>
    <row r="21" spans="1:4" ht="15.75" thickBot="1">
      <c r="A21" s="13" t="s">
        <v>42</v>
      </c>
      <c r="B21" s="13" t="s">
        <v>43</v>
      </c>
      <c r="C21" s="14">
        <f>-84444.95/1000</f>
        <v>-84.44494999999999</v>
      </c>
      <c r="D21" s="14">
        <f>-392606.71/1000</f>
        <v>-392.60671</v>
      </c>
    </row>
    <row r="22" spans="1:4" ht="15.75" thickBot="1">
      <c r="A22" s="13" t="s">
        <v>44</v>
      </c>
      <c r="B22" s="13" t="s">
        <v>45</v>
      </c>
      <c r="C22" s="14">
        <v>0</v>
      </c>
      <c r="D22" s="14">
        <f>-3184.82/1000</f>
        <v>-3.18482</v>
      </c>
    </row>
    <row r="23" spans="1:4" ht="15.75" thickBot="1">
      <c r="A23" s="13" t="s">
        <v>46</v>
      </c>
      <c r="B23" s="13" t="s">
        <v>47</v>
      </c>
      <c r="C23" s="14">
        <f>-12272/1000</f>
        <v>-12.272</v>
      </c>
      <c r="D23" s="14">
        <f>-15924.32/1000</f>
        <v>-15.92432</v>
      </c>
    </row>
    <row r="24" spans="1:4" ht="15.75" thickBot="1">
      <c r="A24" s="13" t="s">
        <v>17</v>
      </c>
      <c r="B24" s="13" t="s">
        <v>48</v>
      </c>
      <c r="C24" s="14">
        <f>SUM(C25:C27)</f>
        <v>-70.65208</v>
      </c>
      <c r="D24" s="14">
        <f>SUM(D25:D27)</f>
        <v>-278.09905</v>
      </c>
    </row>
    <row r="25" spans="1:4" ht="15.75" thickBot="1">
      <c r="A25" s="13" t="s">
        <v>49</v>
      </c>
      <c r="B25" s="13" t="s">
        <v>50</v>
      </c>
      <c r="C25" s="14">
        <f>-9829.77/1000</f>
        <v>-9.82977</v>
      </c>
      <c r="D25" s="14">
        <f>-34105.84/1000</f>
        <v>-34.10583999999999</v>
      </c>
    </row>
    <row r="26" spans="1:4" ht="15.75" thickBot="1">
      <c r="A26" s="13" t="s">
        <v>51</v>
      </c>
      <c r="B26" s="13" t="s">
        <v>52</v>
      </c>
      <c r="C26" s="14">
        <f>-60822.31/1000</f>
        <v>-60.822309999999995</v>
      </c>
      <c r="D26" s="14">
        <f>-243993.21/1000</f>
        <v>-243.99321</v>
      </c>
    </row>
    <row r="27" spans="1:4" ht="15.75" thickBot="1">
      <c r="A27" s="13" t="s">
        <v>53</v>
      </c>
      <c r="B27" s="13" t="s">
        <v>54</v>
      </c>
      <c r="C27" s="14">
        <v>0</v>
      </c>
      <c r="D27" s="14">
        <v>0</v>
      </c>
    </row>
    <row r="28" spans="1:4" ht="15.75" thickBot="1">
      <c r="A28" s="13" t="s">
        <v>17</v>
      </c>
      <c r="B28" s="13" t="s">
        <v>55</v>
      </c>
      <c r="C28" s="14">
        <v>0</v>
      </c>
      <c r="D28" s="14">
        <v>0</v>
      </c>
    </row>
    <row r="29" spans="1:4" ht="15.75" thickBot="1">
      <c r="A29" s="13" t="s">
        <v>56</v>
      </c>
      <c r="B29" s="13" t="s">
        <v>57</v>
      </c>
      <c r="C29" s="14">
        <v>0</v>
      </c>
      <c r="D29" s="14">
        <v>0</v>
      </c>
    </row>
    <row r="30" spans="1:4" ht="15.75" thickBot="1">
      <c r="A30" s="13" t="s">
        <v>17</v>
      </c>
      <c r="B30" s="13" t="s">
        <v>58</v>
      </c>
      <c r="C30" s="14">
        <f>C31+C35</f>
        <v>-0.02966</v>
      </c>
      <c r="D30" s="14">
        <f>D31+D35</f>
        <v>0.85894</v>
      </c>
    </row>
    <row r="31" spans="1:4" ht="15.75" thickBot="1">
      <c r="A31" s="13" t="s">
        <v>17</v>
      </c>
      <c r="B31" s="13" t="s">
        <v>59</v>
      </c>
      <c r="C31" s="29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29">
        <v>0</v>
      </c>
      <c r="D32" s="14">
        <v>0</v>
      </c>
    </row>
    <row r="33" spans="1:4" ht="15.75" thickBot="1">
      <c r="A33" s="13" t="s">
        <v>62</v>
      </c>
      <c r="B33" s="13" t="s">
        <v>63</v>
      </c>
      <c r="C33" s="29">
        <v>0</v>
      </c>
      <c r="D33" s="14">
        <v>0</v>
      </c>
    </row>
    <row r="34" spans="1:4" ht="15.75" thickBot="1">
      <c r="A34" s="13" t="s">
        <v>64</v>
      </c>
      <c r="B34" s="13" t="s">
        <v>65</v>
      </c>
      <c r="C34" s="29">
        <v>0</v>
      </c>
      <c r="D34" s="14">
        <v>0</v>
      </c>
    </row>
    <row r="35" spans="1:4" ht="15.75" thickBot="1">
      <c r="A35" s="13" t="s">
        <v>17</v>
      </c>
      <c r="B35" s="13" t="s">
        <v>66</v>
      </c>
      <c r="C35" s="29">
        <f>SUM(C36:C38)</f>
        <v>-0.02966</v>
      </c>
      <c r="D35" s="14">
        <f>SUM(D36:D38)</f>
        <v>0.85894</v>
      </c>
    </row>
    <row r="36" spans="1:4" ht="15.75" thickBot="1">
      <c r="A36" s="13" t="s">
        <v>67</v>
      </c>
      <c r="B36" s="13" t="s">
        <v>61</v>
      </c>
      <c r="C36" s="29">
        <v>0</v>
      </c>
      <c r="D36" s="14">
        <v>0</v>
      </c>
    </row>
    <row r="37" spans="1:4" ht="15.75" thickBot="1">
      <c r="A37" s="13" t="s">
        <v>68</v>
      </c>
      <c r="B37" s="13" t="s">
        <v>63</v>
      </c>
      <c r="C37" s="29">
        <f>-29.66/1000</f>
        <v>-0.02966</v>
      </c>
      <c r="D37" s="14">
        <f>858.94/1000</f>
        <v>0.85894</v>
      </c>
    </row>
    <row r="38" spans="1:4" ht="15.75" thickBot="1">
      <c r="A38" s="13" t="s">
        <v>69</v>
      </c>
      <c r="B38" s="13" t="s">
        <v>65</v>
      </c>
      <c r="C38" s="14">
        <v>0</v>
      </c>
      <c r="D38" s="14">
        <v>0</v>
      </c>
    </row>
    <row r="39" spans="1:4" ht="15.75" thickBot="1">
      <c r="A39" s="13" t="s">
        <v>70</v>
      </c>
      <c r="B39" s="13" t="s">
        <v>71</v>
      </c>
      <c r="C39" s="14">
        <v>0</v>
      </c>
      <c r="D39" s="14">
        <v>0</v>
      </c>
    </row>
    <row r="40" spans="1:4" ht="15.75" thickBot="1">
      <c r="A40" s="13" t="s">
        <v>70</v>
      </c>
      <c r="B40" s="13" t="s">
        <v>72</v>
      </c>
      <c r="C40" s="14">
        <f>SUM(C41:C42)</f>
        <v>0</v>
      </c>
      <c r="D40" s="14">
        <f>SUM(D41:D42)</f>
        <v>-51.498780000000004</v>
      </c>
    </row>
    <row r="41" spans="1:4" ht="15.75" thickBot="1">
      <c r="A41" s="13" t="s">
        <v>73</v>
      </c>
      <c r="B41" s="13" t="s">
        <v>74</v>
      </c>
      <c r="C41" s="14">
        <v>0</v>
      </c>
      <c r="D41" s="14">
        <f>-53652.97/1000</f>
        <v>-53.65297</v>
      </c>
    </row>
    <row r="42" spans="1:4" ht="15.75" thickBot="1">
      <c r="A42" s="13" t="s">
        <v>75</v>
      </c>
      <c r="B42" s="13" t="s">
        <v>76</v>
      </c>
      <c r="C42" s="14">
        <v>0</v>
      </c>
      <c r="D42" s="14">
        <f>2154.19/1000</f>
        <v>2.1541900000000003</v>
      </c>
    </row>
    <row r="43" spans="1:4" ht="15.75" thickBot="1">
      <c r="A43" s="11" t="s">
        <v>17</v>
      </c>
      <c r="B43" s="11" t="s">
        <v>77</v>
      </c>
      <c r="C43" s="12">
        <f>C4+C5+C6+C7+C12+C15+C19+C24+C28+C29+C30+C39+C40</f>
        <v>856.7013499999997</v>
      </c>
      <c r="D43" s="12">
        <f>D4+D5+D6+D7+D12+D15+D19+D24+D28+D29+D30+D39+D40</f>
        <v>1258.1566500000033</v>
      </c>
    </row>
    <row r="44" spans="1:4" ht="15.75" thickBot="1">
      <c r="A44" s="13" t="s">
        <v>17</v>
      </c>
      <c r="B44" s="13" t="s">
        <v>78</v>
      </c>
      <c r="C44" s="14">
        <f>SUM(C45:C46)</f>
        <v>2.21752</v>
      </c>
      <c r="D44" s="14">
        <f>SUM(D45:D46)</f>
        <v>3.11315</v>
      </c>
    </row>
    <row r="45" spans="1:4" ht="15.75" thickBot="1">
      <c r="A45" s="13" t="s">
        <v>79</v>
      </c>
      <c r="B45" s="13" t="s">
        <v>80</v>
      </c>
      <c r="C45" s="14">
        <v>0</v>
      </c>
      <c r="D45" s="14">
        <v>0</v>
      </c>
    </row>
    <row r="46" spans="1:4" ht="15.75" thickBot="1">
      <c r="A46" s="13" t="s">
        <v>81</v>
      </c>
      <c r="B46" s="13" t="s">
        <v>82</v>
      </c>
      <c r="C46" s="14">
        <f>2217.52/1000</f>
        <v>2.21752</v>
      </c>
      <c r="D46" s="14">
        <f>3113.15/1000</f>
        <v>3.11315</v>
      </c>
    </row>
    <row r="47" spans="1:4" ht="15.75" thickBot="1">
      <c r="A47" s="13" t="s">
        <v>17</v>
      </c>
      <c r="B47" s="13" t="s">
        <v>83</v>
      </c>
      <c r="C47" s="14">
        <f>SUM(C48:C50)</f>
        <v>-6.370220000000001</v>
      </c>
      <c r="D47" s="14">
        <f>SUM(D48:D50)</f>
        <v>-382.31379</v>
      </c>
    </row>
    <row r="48" spans="1:4" ht="45.75" thickBot="1">
      <c r="A48" s="13" t="s">
        <v>84</v>
      </c>
      <c r="B48" s="13" t="s">
        <v>85</v>
      </c>
      <c r="C48" s="14">
        <v>0</v>
      </c>
      <c r="D48" s="14">
        <v>0</v>
      </c>
    </row>
    <row r="49" spans="1:4" ht="57" thickBot="1">
      <c r="A49" s="13" t="s">
        <v>86</v>
      </c>
      <c r="B49" s="13" t="s">
        <v>87</v>
      </c>
      <c r="C49" s="14">
        <f>-6370.22/1000</f>
        <v>-6.370220000000001</v>
      </c>
      <c r="D49" s="14">
        <f>-382313.79/1000</f>
        <v>-382.31379</v>
      </c>
    </row>
    <row r="50" spans="1:4" ht="15.75" thickBot="1">
      <c r="A50" s="13" t="s">
        <v>88</v>
      </c>
      <c r="B50" s="13" t="s">
        <v>89</v>
      </c>
      <c r="C50" s="14">
        <v>0</v>
      </c>
      <c r="D50" s="14">
        <v>0</v>
      </c>
    </row>
    <row r="51" spans="1:4" ht="15.75" thickBot="1">
      <c r="A51" s="13" t="s">
        <v>90</v>
      </c>
      <c r="B51" s="13" t="s">
        <v>91</v>
      </c>
      <c r="C51" s="14">
        <v>0</v>
      </c>
      <c r="D51" s="14">
        <v>0</v>
      </c>
    </row>
    <row r="52" spans="1:4" ht="15.75" thickBot="1">
      <c r="A52" s="13" t="s">
        <v>92</v>
      </c>
      <c r="B52" s="13" t="s">
        <v>93</v>
      </c>
      <c r="C52" s="14">
        <v>0</v>
      </c>
      <c r="D52" s="14">
        <v>0</v>
      </c>
    </row>
    <row r="53" spans="1:4" ht="23.25" thickBot="1">
      <c r="A53" s="13" t="s">
        <v>94</v>
      </c>
      <c r="B53" s="13" t="s">
        <v>95</v>
      </c>
      <c r="C53" s="14">
        <v>0</v>
      </c>
      <c r="D53" s="14">
        <v>0</v>
      </c>
    </row>
    <row r="54" spans="1:4" ht="15.75" thickBot="1">
      <c r="A54" s="13" t="s">
        <v>17</v>
      </c>
      <c r="B54" s="13" t="s">
        <v>96</v>
      </c>
      <c r="C54" s="14">
        <v>0</v>
      </c>
      <c r="D54" s="14">
        <v>0</v>
      </c>
    </row>
    <row r="55" spans="1:4" ht="15.75" thickBot="1">
      <c r="A55" s="11" t="s">
        <v>17</v>
      </c>
      <c r="B55" s="11" t="s">
        <v>97</v>
      </c>
      <c r="C55" s="12">
        <f>C44+C47+C51+C52+C53+C54</f>
        <v>-4.152700000000001</v>
      </c>
      <c r="D55" s="12">
        <f>D44+D47+D51+D52+D53+D54</f>
        <v>-379.20063999999996</v>
      </c>
    </row>
    <row r="56" spans="1:4" ht="15.75" thickBot="1">
      <c r="A56" s="11" t="s">
        <v>17</v>
      </c>
      <c r="B56" s="11" t="s">
        <v>98</v>
      </c>
      <c r="C56" s="12">
        <f>C43+C55</f>
        <v>852.5486499999997</v>
      </c>
      <c r="D56" s="12">
        <f>D43+D55</f>
        <v>878.9560100000033</v>
      </c>
    </row>
    <row r="57" spans="1:4" ht="15.75" thickBot="1">
      <c r="A57" s="13" t="s">
        <v>99</v>
      </c>
      <c r="B57" s="13" t="s">
        <v>100</v>
      </c>
      <c r="C57" s="14">
        <f>-213556.79/1000</f>
        <v>-213.55679</v>
      </c>
      <c r="D57" s="14">
        <f>-220388.97/1000</f>
        <v>-220.38897</v>
      </c>
    </row>
    <row r="58" spans="1:4" ht="23.25" thickBot="1">
      <c r="A58" s="11" t="s">
        <v>17</v>
      </c>
      <c r="B58" s="11" t="s">
        <v>101</v>
      </c>
      <c r="C58" s="12">
        <f>C56+C57</f>
        <v>638.9918599999997</v>
      </c>
      <c r="D58" s="12">
        <f>D56+D57</f>
        <v>658.5670400000033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>
        <v>0</v>
      </c>
      <c r="D60" s="14">
        <v>0</v>
      </c>
    </row>
    <row r="61" spans="1:4" ht="15.75" thickBot="1">
      <c r="A61" s="13" t="s">
        <v>17</v>
      </c>
      <c r="B61" s="13" t="s">
        <v>104</v>
      </c>
      <c r="C61" s="14">
        <f>C58+C60</f>
        <v>638.9918599999997</v>
      </c>
      <c r="D61" s="14">
        <f>D58+D60</f>
        <v>658.5670400000033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39.75" customHeight="1" thickBot="1">
      <c r="A1" s="52" t="s">
        <v>132</v>
      </c>
      <c r="B1" s="53"/>
      <c r="C1" s="53"/>
      <c r="D1" s="54"/>
    </row>
    <row r="2" spans="1:4" ht="19.5" customHeight="1" thickBot="1">
      <c r="A2" s="55"/>
      <c r="B2" s="56"/>
      <c r="C2" s="56"/>
      <c r="D2" s="57"/>
    </row>
    <row r="3" spans="1:4" ht="19.5" customHeight="1" thickBot="1">
      <c r="A3" s="58"/>
      <c r="B3" s="59"/>
      <c r="C3" s="59"/>
      <c r="D3" s="59"/>
    </row>
    <row r="4" spans="1:4" ht="19.5" customHeight="1" thickBot="1">
      <c r="A4" s="60" t="s">
        <v>5</v>
      </c>
      <c r="B4" s="60"/>
      <c r="C4" s="60"/>
      <c r="D4" s="60"/>
    </row>
    <row r="5" spans="1:4" ht="15.75" thickBot="1">
      <c r="A5" s="32" t="s">
        <v>4</v>
      </c>
      <c r="B5" s="32" t="s">
        <v>133</v>
      </c>
      <c r="C5" s="32" t="s">
        <v>6</v>
      </c>
      <c r="D5" s="32" t="s">
        <v>7</v>
      </c>
    </row>
    <row r="6" spans="1:4" ht="15">
      <c r="A6" s="33"/>
      <c r="B6" s="34" t="s">
        <v>10</v>
      </c>
      <c r="C6" s="35" t="s">
        <v>4</v>
      </c>
      <c r="D6" s="35" t="s">
        <v>4</v>
      </c>
    </row>
    <row r="7" spans="1:4" ht="24">
      <c r="A7" s="36" t="s">
        <v>11</v>
      </c>
      <c r="B7" s="36" t="s">
        <v>12</v>
      </c>
      <c r="C7" s="37">
        <v>0</v>
      </c>
      <c r="D7" s="37">
        <v>131</v>
      </c>
    </row>
    <row r="8" spans="1:4" ht="15">
      <c r="A8" s="36" t="s">
        <v>13</v>
      </c>
      <c r="B8" s="36" t="s">
        <v>14</v>
      </c>
      <c r="C8" s="37">
        <v>0</v>
      </c>
      <c r="D8" s="37">
        <v>0</v>
      </c>
    </row>
    <row r="9" spans="1:4" ht="15">
      <c r="A9" s="36" t="s">
        <v>15</v>
      </c>
      <c r="B9" s="36" t="s">
        <v>16</v>
      </c>
      <c r="C9" s="37">
        <v>0</v>
      </c>
      <c r="D9" s="37">
        <v>1409</v>
      </c>
    </row>
    <row r="10" spans="1:4" ht="15">
      <c r="A10" s="36"/>
      <c r="B10" s="36" t="s">
        <v>18</v>
      </c>
      <c r="C10" s="38">
        <f>+C11+C12+C13+C14</f>
        <v>-3150</v>
      </c>
      <c r="D10" s="38">
        <v>-22316</v>
      </c>
    </row>
    <row r="11" spans="1:4" ht="15">
      <c r="A11" s="36" t="s">
        <v>19</v>
      </c>
      <c r="B11" s="36" t="s">
        <v>134</v>
      </c>
      <c r="C11" s="37">
        <v>0</v>
      </c>
      <c r="D11" s="37">
        <v>0</v>
      </c>
    </row>
    <row r="12" spans="1:4" ht="35.25">
      <c r="A12" s="36" t="s">
        <v>21</v>
      </c>
      <c r="B12" s="36" t="s">
        <v>135</v>
      </c>
      <c r="C12" s="37">
        <v>-53</v>
      </c>
      <c r="D12" s="37">
        <v>-162</v>
      </c>
    </row>
    <row r="13" spans="1:4" ht="15">
      <c r="A13" s="36" t="s">
        <v>23</v>
      </c>
      <c r="B13" s="36" t="s">
        <v>136</v>
      </c>
      <c r="C13" s="37">
        <v>-3097</v>
      </c>
      <c r="D13" s="37">
        <v>-22154</v>
      </c>
    </row>
    <row r="14" spans="1:4" ht="24">
      <c r="A14" s="36" t="s">
        <v>25</v>
      </c>
      <c r="B14" s="36" t="s">
        <v>137</v>
      </c>
      <c r="C14" s="37">
        <v>0</v>
      </c>
      <c r="D14" s="37">
        <v>0</v>
      </c>
    </row>
    <row r="15" spans="1:4" ht="15">
      <c r="A15" s="36"/>
      <c r="B15" s="36" t="s">
        <v>27</v>
      </c>
      <c r="C15" s="38">
        <f>+C16+C17</f>
        <v>0</v>
      </c>
      <c r="D15" s="38">
        <v>1390</v>
      </c>
    </row>
    <row r="16" spans="1:4" ht="15">
      <c r="A16" s="36" t="s">
        <v>28</v>
      </c>
      <c r="B16" s="36" t="s">
        <v>138</v>
      </c>
      <c r="C16" s="37">
        <v>0</v>
      </c>
      <c r="D16" s="37">
        <v>1390</v>
      </c>
    </row>
    <row r="17" spans="1:4" ht="15">
      <c r="A17" s="36" t="s">
        <v>30</v>
      </c>
      <c r="B17" s="36" t="s">
        <v>139</v>
      </c>
      <c r="C17" s="37">
        <v>0</v>
      </c>
      <c r="D17" s="37">
        <v>0</v>
      </c>
    </row>
    <row r="18" spans="1:4" ht="15">
      <c r="A18" s="36"/>
      <c r="B18" s="36" t="s">
        <v>32</v>
      </c>
      <c r="C18" s="38">
        <f>+C19+C20+C21</f>
        <v>-10620</v>
      </c>
      <c r="D18" s="38">
        <v>-42789</v>
      </c>
    </row>
    <row r="19" spans="1:4" ht="15">
      <c r="A19" s="36" t="s">
        <v>33</v>
      </c>
      <c r="B19" s="36" t="s">
        <v>140</v>
      </c>
      <c r="C19" s="37">
        <v>-9162</v>
      </c>
      <c r="D19" s="37">
        <v>-35257</v>
      </c>
    </row>
    <row r="20" spans="1:4" ht="15">
      <c r="A20" s="36" t="s">
        <v>35</v>
      </c>
      <c r="B20" s="36" t="s">
        <v>141</v>
      </c>
      <c r="C20" s="37">
        <v>-2317</v>
      </c>
      <c r="D20" s="37">
        <v>-8781</v>
      </c>
    </row>
    <row r="21" spans="1:4" ht="15">
      <c r="A21" s="36" t="s">
        <v>37</v>
      </c>
      <c r="B21" s="36" t="s">
        <v>142</v>
      </c>
      <c r="C21" s="37">
        <v>859</v>
      </c>
      <c r="D21" s="37">
        <v>1249</v>
      </c>
    </row>
    <row r="22" spans="1:4" ht="15">
      <c r="A22" s="36"/>
      <c r="B22" s="36" t="s">
        <v>39</v>
      </c>
      <c r="C22" s="38">
        <f>+C23+C24+C25+C26</f>
        <v>-7202</v>
      </c>
      <c r="D22" s="38">
        <v>-61351</v>
      </c>
    </row>
    <row r="23" spans="1:4" ht="35.25">
      <c r="A23" s="36" t="s">
        <v>40</v>
      </c>
      <c r="B23" s="36" t="s">
        <v>143</v>
      </c>
      <c r="C23" s="37">
        <v>-7202</v>
      </c>
      <c r="D23" s="37">
        <v>-61347</v>
      </c>
    </row>
    <row r="24" spans="1:4" ht="15">
      <c r="A24" s="36" t="s">
        <v>42</v>
      </c>
      <c r="B24" s="36" t="s">
        <v>144</v>
      </c>
      <c r="C24" s="37">
        <v>0</v>
      </c>
      <c r="D24" s="37">
        <v>-3</v>
      </c>
    </row>
    <row r="25" spans="1:4" ht="15">
      <c r="A25" s="36" t="s">
        <v>44</v>
      </c>
      <c r="B25" s="36" t="s">
        <v>145</v>
      </c>
      <c r="C25" s="37">
        <v>0</v>
      </c>
      <c r="D25" s="37">
        <v>0</v>
      </c>
    </row>
    <row r="26" spans="1:4" ht="15">
      <c r="A26" s="36" t="s">
        <v>46</v>
      </c>
      <c r="B26" s="36" t="s">
        <v>146</v>
      </c>
      <c r="C26" s="37">
        <v>0</v>
      </c>
      <c r="D26" s="37">
        <v>-1</v>
      </c>
    </row>
    <row r="27" spans="1:4" ht="15">
      <c r="A27" s="36"/>
      <c r="B27" s="36" t="s">
        <v>48</v>
      </c>
      <c r="C27" s="38">
        <f>+C28+C29+C30</f>
        <v>-6154</v>
      </c>
      <c r="D27" s="38">
        <v>-23678</v>
      </c>
    </row>
    <row r="28" spans="1:4" ht="15">
      <c r="A28" s="36" t="s">
        <v>49</v>
      </c>
      <c r="B28" s="36" t="s">
        <v>147</v>
      </c>
      <c r="C28" s="37">
        <v>-2839</v>
      </c>
      <c r="D28" s="37">
        <v>-10429</v>
      </c>
    </row>
    <row r="29" spans="1:4" ht="15">
      <c r="A29" s="36" t="s">
        <v>51</v>
      </c>
      <c r="B29" s="36" t="s">
        <v>148</v>
      </c>
      <c r="C29" s="37">
        <v>-3315</v>
      </c>
      <c r="D29" s="37">
        <v>-13249</v>
      </c>
    </row>
    <row r="30" spans="1:4" ht="15">
      <c r="A30" s="36" t="s">
        <v>53</v>
      </c>
      <c r="B30" s="36" t="s">
        <v>149</v>
      </c>
      <c r="C30" s="37">
        <v>0</v>
      </c>
      <c r="D30" s="37">
        <v>0</v>
      </c>
    </row>
    <row r="31" spans="1:4" ht="15">
      <c r="A31" s="36"/>
      <c r="B31" s="36" t="s">
        <v>55</v>
      </c>
      <c r="C31" s="37">
        <v>113</v>
      </c>
      <c r="D31" s="37">
        <v>733</v>
      </c>
    </row>
    <row r="32" spans="1:4" ht="15">
      <c r="A32" s="36" t="s">
        <v>56</v>
      </c>
      <c r="B32" s="36" t="s">
        <v>57</v>
      </c>
      <c r="C32" s="37">
        <v>0</v>
      </c>
      <c r="D32" s="37">
        <v>0</v>
      </c>
    </row>
    <row r="33" spans="1:4" ht="15">
      <c r="A33" s="36"/>
      <c r="B33" s="36" t="s">
        <v>58</v>
      </c>
      <c r="C33" s="38">
        <f>+C34+C38</f>
        <v>0</v>
      </c>
      <c r="D33" s="38">
        <v>8</v>
      </c>
    </row>
    <row r="34" spans="1:4" ht="15">
      <c r="A34" s="36"/>
      <c r="B34" s="36" t="s">
        <v>150</v>
      </c>
      <c r="C34" s="38">
        <f>+C35+C36+C37</f>
        <v>0</v>
      </c>
      <c r="D34" s="38">
        <v>13</v>
      </c>
    </row>
    <row r="35" spans="1:4" ht="15">
      <c r="A35" s="36" t="s">
        <v>60</v>
      </c>
      <c r="B35" s="36" t="s">
        <v>151</v>
      </c>
      <c r="C35" s="37">
        <v>0</v>
      </c>
      <c r="D35" s="37">
        <v>0</v>
      </c>
    </row>
    <row r="36" spans="1:4" ht="15">
      <c r="A36" s="36" t="s">
        <v>62</v>
      </c>
      <c r="B36" s="36" t="s">
        <v>152</v>
      </c>
      <c r="C36" s="37">
        <v>0</v>
      </c>
      <c r="D36" s="37">
        <v>13</v>
      </c>
    </row>
    <row r="37" spans="1:4" ht="15">
      <c r="A37" s="36" t="s">
        <v>64</v>
      </c>
      <c r="B37" s="36" t="s">
        <v>153</v>
      </c>
      <c r="C37" s="37">
        <v>0</v>
      </c>
      <c r="D37" s="37">
        <v>0</v>
      </c>
    </row>
    <row r="38" spans="1:4" ht="15">
      <c r="A38" s="36"/>
      <c r="B38" s="36" t="s">
        <v>154</v>
      </c>
      <c r="C38" s="38">
        <f>+C39+C40+C41</f>
        <v>0</v>
      </c>
      <c r="D38" s="38">
        <v>-5</v>
      </c>
    </row>
    <row r="39" spans="1:4" ht="15">
      <c r="A39" s="36" t="s">
        <v>67</v>
      </c>
      <c r="B39" s="36" t="s">
        <v>151</v>
      </c>
      <c r="C39" s="37">
        <v>0</v>
      </c>
      <c r="D39" s="37">
        <v>0</v>
      </c>
    </row>
    <row r="40" spans="1:4" ht="15">
      <c r="A40" s="36" t="s">
        <v>68</v>
      </c>
      <c r="B40" s="36" t="s">
        <v>152</v>
      </c>
      <c r="C40" s="37">
        <v>0</v>
      </c>
      <c r="D40" s="37">
        <v>-5</v>
      </c>
    </row>
    <row r="41" spans="1:4" ht="15">
      <c r="A41" s="36" t="s">
        <v>69</v>
      </c>
      <c r="B41" s="36" t="s">
        <v>153</v>
      </c>
      <c r="C41" s="37">
        <v>0</v>
      </c>
      <c r="D41" s="37">
        <v>0</v>
      </c>
    </row>
    <row r="42" spans="1:4" ht="15">
      <c r="A42" s="36" t="s">
        <v>155</v>
      </c>
      <c r="B42" s="36" t="s">
        <v>71</v>
      </c>
      <c r="C42" s="37">
        <v>0</v>
      </c>
      <c r="D42" s="37">
        <v>0</v>
      </c>
    </row>
    <row r="43" spans="1:4" ht="15">
      <c r="A43" s="36" t="s">
        <v>155</v>
      </c>
      <c r="B43" s="36" t="s">
        <v>72</v>
      </c>
      <c r="C43" s="38">
        <f>+C44+C45</f>
        <v>0</v>
      </c>
      <c r="D43" s="38">
        <v>0</v>
      </c>
    </row>
    <row r="44" spans="1:4" ht="15">
      <c r="A44" s="36" t="s">
        <v>73</v>
      </c>
      <c r="B44" s="36" t="s">
        <v>156</v>
      </c>
      <c r="C44" s="37">
        <v>0</v>
      </c>
      <c r="D44" s="37">
        <v>0</v>
      </c>
    </row>
    <row r="45" spans="1:4" ht="15">
      <c r="A45" s="36" t="s">
        <v>75</v>
      </c>
      <c r="B45" s="36" t="s">
        <v>157</v>
      </c>
      <c r="C45" s="37">
        <v>0</v>
      </c>
      <c r="D45" s="37">
        <v>0</v>
      </c>
    </row>
    <row r="46" spans="1:4" ht="15">
      <c r="A46" s="39"/>
      <c r="B46" s="39" t="s">
        <v>77</v>
      </c>
      <c r="C46" s="40">
        <f>+C7+C8+C9+C10+C15+C18+C22+C27+C31+C32+C33+C42+C43</f>
        <v>-27013</v>
      </c>
      <c r="D46" s="40">
        <v>-146463</v>
      </c>
    </row>
    <row r="47" spans="1:4" ht="15">
      <c r="A47" s="36"/>
      <c r="B47" s="36" t="s">
        <v>78</v>
      </c>
      <c r="C47" s="38">
        <f>+C48+C49</f>
        <v>1</v>
      </c>
      <c r="D47" s="38">
        <v>55</v>
      </c>
    </row>
    <row r="48" spans="1:4" ht="15">
      <c r="A48" s="36" t="s">
        <v>79</v>
      </c>
      <c r="B48" s="36" t="s">
        <v>158</v>
      </c>
      <c r="C48" s="37">
        <v>0</v>
      </c>
      <c r="D48" s="37">
        <v>0</v>
      </c>
    </row>
    <row r="49" spans="1:4" ht="15">
      <c r="A49" s="36" t="s">
        <v>81</v>
      </c>
      <c r="B49" s="36" t="s">
        <v>159</v>
      </c>
      <c r="C49" s="37">
        <v>1</v>
      </c>
      <c r="D49" s="37">
        <v>55</v>
      </c>
    </row>
    <row r="50" spans="1:4" ht="15">
      <c r="A50" s="36"/>
      <c r="B50" s="36" t="s">
        <v>83</v>
      </c>
      <c r="C50" s="38">
        <f>+C51+C52+C53</f>
        <v>-1</v>
      </c>
      <c r="D50" s="38">
        <v>-3</v>
      </c>
    </row>
    <row r="51" spans="1:4" ht="46.5">
      <c r="A51" s="36" t="s">
        <v>84</v>
      </c>
      <c r="B51" s="36" t="s">
        <v>160</v>
      </c>
      <c r="C51" s="37">
        <v>0</v>
      </c>
      <c r="D51" s="37">
        <v>0</v>
      </c>
    </row>
    <row r="52" spans="1:4" ht="57.75">
      <c r="A52" s="36" t="s">
        <v>86</v>
      </c>
      <c r="B52" s="36" t="s">
        <v>161</v>
      </c>
      <c r="C52" s="37">
        <v>-1</v>
      </c>
      <c r="D52" s="37">
        <v>-3</v>
      </c>
    </row>
    <row r="53" spans="1:4" ht="15">
      <c r="A53" s="36" t="s">
        <v>88</v>
      </c>
      <c r="B53" s="36" t="s">
        <v>162</v>
      </c>
      <c r="C53" s="37">
        <v>0</v>
      </c>
      <c r="D53" s="37">
        <v>0</v>
      </c>
    </row>
    <row r="54" spans="1:4" ht="15">
      <c r="A54" s="36" t="s">
        <v>90</v>
      </c>
      <c r="B54" s="36" t="s">
        <v>91</v>
      </c>
      <c r="C54" s="37">
        <v>0</v>
      </c>
      <c r="D54" s="37">
        <v>0</v>
      </c>
    </row>
    <row r="55" spans="1:4" ht="15">
      <c r="A55" s="36" t="s">
        <v>92</v>
      </c>
      <c r="B55" s="36" t="s">
        <v>93</v>
      </c>
      <c r="C55" s="37">
        <v>0</v>
      </c>
      <c r="D55" s="37">
        <v>0</v>
      </c>
    </row>
    <row r="56" spans="1:4" ht="24">
      <c r="A56" s="36" t="s">
        <v>94</v>
      </c>
      <c r="B56" s="36" t="s">
        <v>95</v>
      </c>
      <c r="C56" s="37">
        <v>0</v>
      </c>
      <c r="D56" s="37">
        <v>0</v>
      </c>
    </row>
    <row r="57" spans="1:4" ht="15">
      <c r="A57" s="36"/>
      <c r="B57" s="36" t="s">
        <v>96</v>
      </c>
      <c r="C57" s="37">
        <v>0</v>
      </c>
      <c r="D57" s="37">
        <v>0</v>
      </c>
    </row>
    <row r="58" spans="1:4" ht="15">
      <c r="A58" s="39"/>
      <c r="B58" s="39" t="s">
        <v>97</v>
      </c>
      <c r="C58" s="40">
        <f>+C47+C50+C54+C55+C56+C57</f>
        <v>0</v>
      </c>
      <c r="D58" s="40">
        <v>52</v>
      </c>
    </row>
    <row r="59" spans="1:4" ht="15">
      <c r="A59" s="39"/>
      <c r="B59" s="39" t="s">
        <v>98</v>
      </c>
      <c r="C59" s="40">
        <f>+C46+C58</f>
        <v>-27013</v>
      </c>
      <c r="D59" s="40">
        <v>-146411</v>
      </c>
    </row>
    <row r="60" spans="1:4" ht="15">
      <c r="A60" s="36" t="s">
        <v>99</v>
      </c>
      <c r="B60" s="36" t="s">
        <v>100</v>
      </c>
      <c r="C60" s="37">
        <v>0</v>
      </c>
      <c r="D60" s="37">
        <v>0</v>
      </c>
    </row>
    <row r="61" spans="1:4" ht="24">
      <c r="A61" s="39"/>
      <c r="B61" s="39" t="s">
        <v>101</v>
      </c>
      <c r="C61" s="40">
        <f>+C59+C60</f>
        <v>-27013</v>
      </c>
      <c r="D61" s="40">
        <v>-146411</v>
      </c>
    </row>
    <row r="62" spans="1:4" ht="15">
      <c r="A62" s="33"/>
      <c r="B62" s="34" t="s">
        <v>102</v>
      </c>
      <c r="C62" s="35" t="s">
        <v>4</v>
      </c>
      <c r="D62" s="41"/>
    </row>
    <row r="63" spans="1:4" ht="15">
      <c r="A63" s="36"/>
      <c r="B63" s="36" t="s">
        <v>103</v>
      </c>
      <c r="C63" s="37">
        <v>0</v>
      </c>
      <c r="D63" s="37">
        <v>0</v>
      </c>
    </row>
    <row r="64" spans="1:4" ht="15">
      <c r="A64" s="36"/>
      <c r="B64" s="36" t="s">
        <v>104</v>
      </c>
      <c r="C64" s="40">
        <f>+C61+C63</f>
        <v>-27013</v>
      </c>
      <c r="D64" s="40">
        <v>-146411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21.421875" style="0" bestFit="1" customWidth="1"/>
  </cols>
  <sheetData>
    <row r="1" spans="1:4" ht="19.5" customHeight="1" thickBot="1">
      <c r="A1" s="51" t="s">
        <v>5</v>
      </c>
      <c r="B1" s="51"/>
      <c r="C1" s="51"/>
      <c r="D1" s="51"/>
    </row>
    <row r="2" spans="1:4" ht="20.25" thickBot="1">
      <c r="A2" s="15"/>
      <c r="B2" s="17" t="s">
        <v>8</v>
      </c>
      <c r="C2" s="49">
        <v>42825</v>
      </c>
      <c r="D2" s="49">
        <v>42735</v>
      </c>
    </row>
    <row r="3" spans="1:4" ht="15.75" thickBot="1">
      <c r="A3" s="15"/>
      <c r="B3" s="15" t="s">
        <v>10</v>
      </c>
      <c r="C3" s="18">
        <f>C58</f>
        <v>22023.534940000016</v>
      </c>
      <c r="D3" s="18">
        <f>D58</f>
        <v>-68472.81477</v>
      </c>
    </row>
    <row r="4" spans="1:4" ht="23.25" thickBot="1">
      <c r="A4" s="13" t="s">
        <v>11</v>
      </c>
      <c r="B4" s="13" t="s">
        <v>12</v>
      </c>
      <c r="C4" s="14">
        <v>237279.67602</v>
      </c>
      <c r="D4" s="14">
        <v>861778.5192699999</v>
      </c>
    </row>
    <row r="5" spans="1:4" ht="15.75" thickBot="1">
      <c r="A5" s="13" t="s">
        <v>13</v>
      </c>
      <c r="B5" s="13" t="s">
        <v>14</v>
      </c>
      <c r="C5" s="14"/>
      <c r="D5" s="14"/>
    </row>
    <row r="6" spans="1:4" ht="15.75" thickBot="1">
      <c r="A6" s="13" t="s">
        <v>15</v>
      </c>
      <c r="B6" s="13" t="s">
        <v>16</v>
      </c>
      <c r="C6" s="14">
        <v>0</v>
      </c>
      <c r="D6" s="14">
        <v>200.10989999999998</v>
      </c>
    </row>
    <row r="7" spans="1:4" ht="15.75" thickBot="1">
      <c r="A7" s="13" t="s">
        <v>17</v>
      </c>
      <c r="B7" s="13" t="s">
        <v>18</v>
      </c>
      <c r="C7" s="14">
        <f>SUM(C8:C11)</f>
        <v>-4104.87842</v>
      </c>
      <c r="D7" s="14">
        <f>SUM(D8:D11)</f>
        <v>-14461.41887</v>
      </c>
    </row>
    <row r="8" spans="1:4" ht="15.75" thickBot="1">
      <c r="A8" s="13" t="s">
        <v>19</v>
      </c>
      <c r="B8" s="13" t="s">
        <v>20</v>
      </c>
      <c r="C8" s="14"/>
      <c r="D8" s="14"/>
    </row>
    <row r="9" spans="1:4" ht="34.5" thickBot="1">
      <c r="A9" s="13" t="s">
        <v>21</v>
      </c>
      <c r="B9" s="13" t="s">
        <v>22</v>
      </c>
      <c r="C9" s="14">
        <v>-4104.87842</v>
      </c>
      <c r="D9" s="14">
        <v>-13902.45062</v>
      </c>
    </row>
    <row r="10" spans="1:4" ht="15.75" thickBot="1">
      <c r="A10" s="13" t="s">
        <v>23</v>
      </c>
      <c r="B10" s="13" t="s">
        <v>24</v>
      </c>
      <c r="C10" s="14"/>
      <c r="D10" s="14"/>
    </row>
    <row r="11" spans="1:4" ht="23.25" thickBot="1">
      <c r="A11" s="13" t="s">
        <v>25</v>
      </c>
      <c r="B11" s="13" t="s">
        <v>26</v>
      </c>
      <c r="C11" s="14">
        <v>0</v>
      </c>
      <c r="D11" s="14">
        <v>-558.96825</v>
      </c>
    </row>
    <row r="12" spans="1:4" ht="15.75" thickBot="1">
      <c r="A12" s="13" t="s">
        <v>17</v>
      </c>
      <c r="B12" s="13" t="s">
        <v>27</v>
      </c>
      <c r="C12" s="14">
        <f>SUM(C13:C14)</f>
        <v>11558.33598</v>
      </c>
      <c r="D12" s="14">
        <f>SUM(D13:D14)</f>
        <v>47469.10079</v>
      </c>
    </row>
    <row r="13" spans="1:4" ht="15.75" thickBot="1">
      <c r="A13" s="13" t="s">
        <v>28</v>
      </c>
      <c r="B13" s="13" t="s">
        <v>29</v>
      </c>
      <c r="C13" s="14">
        <v>11558.33598</v>
      </c>
      <c r="D13" s="14">
        <v>46967.48291</v>
      </c>
    </row>
    <row r="14" spans="1:4" ht="15.75" thickBot="1">
      <c r="A14" s="13" t="s">
        <v>170</v>
      </c>
      <c r="B14" s="13" t="s">
        <v>31</v>
      </c>
      <c r="C14" s="14">
        <v>0</v>
      </c>
      <c r="D14" s="14">
        <v>501.61788</v>
      </c>
    </row>
    <row r="15" spans="1:4" ht="15.75" thickBot="1">
      <c r="A15" s="13" t="s">
        <v>17</v>
      </c>
      <c r="B15" s="13" t="s">
        <v>32</v>
      </c>
      <c r="C15" s="14">
        <f>SUM(C16:C18)</f>
        <v>-86866.54199</v>
      </c>
      <c r="D15" s="14">
        <f>SUM(D16:D18)</f>
        <v>-359851.32812</v>
      </c>
    </row>
    <row r="16" spans="1:4" ht="15.75" thickBot="1">
      <c r="A16" s="13" t="s">
        <v>33</v>
      </c>
      <c r="B16" s="13" t="s">
        <v>34</v>
      </c>
      <c r="C16" s="14">
        <v>-65266.78682</v>
      </c>
      <c r="D16" s="14">
        <v>-269791.05894</v>
      </c>
    </row>
    <row r="17" spans="1:4" ht="15.75" thickBot="1">
      <c r="A17" s="13" t="s">
        <v>35</v>
      </c>
      <c r="B17" s="13" t="s">
        <v>36</v>
      </c>
      <c r="C17" s="14">
        <v>-21599.75517</v>
      </c>
      <c r="D17" s="14">
        <v>-90060.26918</v>
      </c>
    </row>
    <row r="18" spans="1:4" ht="15.75" thickBot="1">
      <c r="A18" s="13" t="s">
        <v>37</v>
      </c>
      <c r="B18" s="13" t="s">
        <v>38</v>
      </c>
      <c r="C18" s="14"/>
      <c r="D18" s="14"/>
    </row>
    <row r="19" spans="1:4" ht="15.75" thickBot="1">
      <c r="A19" s="13" t="s">
        <v>17</v>
      </c>
      <c r="B19" s="13" t="s">
        <v>39</v>
      </c>
      <c r="C19" s="14">
        <f>SUM(C20:C23)</f>
        <v>-116036.26913000002</v>
      </c>
      <c r="D19" s="14">
        <f>SUM(D20:D23)</f>
        <v>-443476.89512</v>
      </c>
    </row>
    <row r="20" spans="1:4" ht="34.5" thickBot="1">
      <c r="A20" s="13" t="s">
        <v>40</v>
      </c>
      <c r="B20" s="13" t="s">
        <v>41</v>
      </c>
      <c r="C20" s="14">
        <v>-115684.51877000001</v>
      </c>
      <c r="D20" s="14">
        <v>-440294.77011000004</v>
      </c>
    </row>
    <row r="21" spans="1:4" ht="15.75" thickBot="1">
      <c r="A21" s="13" t="s">
        <v>42</v>
      </c>
      <c r="B21" s="13" t="s">
        <v>43</v>
      </c>
      <c r="C21" s="14">
        <v>-351.75036</v>
      </c>
      <c r="D21" s="14">
        <v>-2334.80655</v>
      </c>
    </row>
    <row r="22" spans="1:4" ht="15.75" thickBot="1">
      <c r="A22" s="13" t="s">
        <v>44</v>
      </c>
      <c r="B22" s="13" t="s">
        <v>45</v>
      </c>
      <c r="C22" s="14">
        <v>0</v>
      </c>
      <c r="D22" s="14">
        <v>-847.31846</v>
      </c>
    </row>
    <row r="23" spans="1:4" ht="15.75" thickBot="1">
      <c r="A23" s="13" t="s">
        <v>46</v>
      </c>
      <c r="B23" s="13" t="s">
        <v>47</v>
      </c>
      <c r="C23" s="14"/>
      <c r="D23" s="14"/>
    </row>
    <row r="24" spans="1:4" ht="15.75" thickBot="1">
      <c r="A24" s="13" t="s">
        <v>17</v>
      </c>
      <c r="B24" s="13" t="s">
        <v>48</v>
      </c>
      <c r="C24" s="14">
        <f>SUM(C25:C27)</f>
        <v>-27487.966559999997</v>
      </c>
      <c r="D24" s="14">
        <f>SUM(D25:D27)</f>
        <v>-107873.36145</v>
      </c>
    </row>
    <row r="25" spans="1:4" ht="15.75" thickBot="1">
      <c r="A25" s="13" t="s">
        <v>49</v>
      </c>
      <c r="B25" s="13" t="s">
        <v>50</v>
      </c>
      <c r="C25" s="14">
        <v>-1155.55446</v>
      </c>
      <c r="D25" s="14">
        <v>-4117.19882</v>
      </c>
    </row>
    <row r="26" spans="1:4" ht="15.75" thickBot="1">
      <c r="A26" s="13" t="s">
        <v>51</v>
      </c>
      <c r="B26" s="13" t="s">
        <v>52</v>
      </c>
      <c r="C26" s="14">
        <v>-26332.412099999998</v>
      </c>
      <c r="D26" s="14">
        <v>-103756.16262999999</v>
      </c>
    </row>
    <row r="27" spans="1:4" ht="15.75" thickBot="1">
      <c r="A27" s="13" t="s">
        <v>53</v>
      </c>
      <c r="B27" s="13" t="s">
        <v>54</v>
      </c>
      <c r="C27" s="14"/>
      <c r="D27" s="14"/>
    </row>
    <row r="28" spans="1:4" ht="15.75" thickBot="1">
      <c r="A28" s="50" t="s">
        <v>171</v>
      </c>
      <c r="B28" s="13" t="s">
        <v>55</v>
      </c>
      <c r="C28" s="14">
        <v>10531.56394</v>
      </c>
      <c r="D28" s="14">
        <v>43846.20445</v>
      </c>
    </row>
    <row r="29" spans="1:4" ht="15.75" thickBot="1">
      <c r="A29" s="13" t="s">
        <v>56</v>
      </c>
      <c r="B29" s="13" t="s">
        <v>57</v>
      </c>
      <c r="C29" s="14">
        <v>16.61919</v>
      </c>
      <c r="D29" s="14">
        <v>10177.00083</v>
      </c>
    </row>
    <row r="30" spans="1:4" ht="15.75" thickBot="1">
      <c r="A30" s="13" t="s">
        <v>17</v>
      </c>
      <c r="B30" s="13" t="s">
        <v>58</v>
      </c>
      <c r="C30" s="14">
        <f>C31+C35</f>
        <v>7.5678</v>
      </c>
      <c r="D30" s="14">
        <f>D31+D35</f>
        <v>55.641400000000004</v>
      </c>
    </row>
    <row r="31" spans="1:4" ht="15.75" thickBot="1">
      <c r="A31" s="13" t="s">
        <v>17</v>
      </c>
      <c r="B31" s="13" t="s">
        <v>59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60</v>
      </c>
      <c r="B32" s="13" t="s">
        <v>61</v>
      </c>
      <c r="C32" s="14"/>
      <c r="D32" s="14"/>
    </row>
    <row r="33" spans="1:4" ht="15.75" thickBot="1">
      <c r="A33" s="13" t="s">
        <v>62</v>
      </c>
      <c r="B33" s="13" t="s">
        <v>63</v>
      </c>
      <c r="C33" s="14"/>
      <c r="D33" s="14"/>
    </row>
    <row r="34" spans="1:4" ht="15.75" thickBot="1">
      <c r="A34" s="13" t="s">
        <v>64</v>
      </c>
      <c r="B34" s="13" t="s">
        <v>65</v>
      </c>
      <c r="C34" s="14"/>
      <c r="D34" s="14"/>
    </row>
    <row r="35" spans="1:4" ht="15.75" thickBot="1">
      <c r="A35" s="13" t="s">
        <v>17</v>
      </c>
      <c r="B35" s="13" t="s">
        <v>66</v>
      </c>
      <c r="C35" s="14">
        <f>SUM(C36:C38)</f>
        <v>7.5678</v>
      </c>
      <c r="D35" s="14">
        <f>SUM(D36:D38)</f>
        <v>55.641400000000004</v>
      </c>
    </row>
    <row r="36" spans="1:4" ht="15.75" thickBot="1">
      <c r="A36" s="13" t="s">
        <v>67</v>
      </c>
      <c r="B36" s="13" t="s">
        <v>61</v>
      </c>
      <c r="C36" s="14"/>
      <c r="D36" s="14"/>
    </row>
    <row r="37" spans="1:4" ht="15.75" thickBot="1">
      <c r="A37" s="13" t="s">
        <v>68</v>
      </c>
      <c r="B37" s="13" t="s">
        <v>63</v>
      </c>
      <c r="C37" s="14">
        <v>7.5678</v>
      </c>
      <c r="D37" s="14">
        <v>55.641400000000004</v>
      </c>
    </row>
    <row r="38" spans="1:4" ht="15.75" thickBot="1">
      <c r="A38" s="13" t="s">
        <v>69</v>
      </c>
      <c r="B38" s="13" t="s">
        <v>65</v>
      </c>
      <c r="C38" s="14"/>
      <c r="D38" s="14"/>
    </row>
    <row r="39" spans="1:4" ht="15.75" thickBot="1">
      <c r="A39" s="13" t="s">
        <v>70</v>
      </c>
      <c r="B39" s="13" t="s">
        <v>71</v>
      </c>
      <c r="C39" s="14"/>
      <c r="D39" s="14"/>
    </row>
    <row r="40" spans="1:4" ht="15.75" thickBot="1">
      <c r="A40" s="13" t="s">
        <v>70</v>
      </c>
      <c r="B40" s="13" t="s">
        <v>72</v>
      </c>
      <c r="C40" s="14">
        <f>SUM(C41:C42)</f>
        <v>181.80829999999997</v>
      </c>
      <c r="D40" s="14">
        <f>SUM(D41:D42)</f>
        <v>-90752.45629</v>
      </c>
    </row>
    <row r="41" spans="1:4" ht="15.75" thickBot="1">
      <c r="A41" s="13" t="s">
        <v>73</v>
      </c>
      <c r="B41" s="13" t="s">
        <v>74</v>
      </c>
      <c r="C41" s="14">
        <v>181.80829999999997</v>
      </c>
      <c r="D41" s="14">
        <v>-90752.45629</v>
      </c>
    </row>
    <row r="42" spans="1:4" ht="15.75" thickBot="1">
      <c r="A42" s="13" t="s">
        <v>75</v>
      </c>
      <c r="B42" s="13" t="s">
        <v>76</v>
      </c>
      <c r="C42" s="14"/>
      <c r="D42" s="14"/>
    </row>
    <row r="43" spans="1:7" ht="15.75" thickBot="1">
      <c r="A43" s="11" t="s">
        <v>17</v>
      </c>
      <c r="B43" s="11" t="s">
        <v>77</v>
      </c>
      <c r="C43" s="12">
        <f>C4+C5+C6+C7+C12+C15+C19+C24+C28+C29+C30+C39+C40</f>
        <v>25079.915130000016</v>
      </c>
      <c r="D43" s="12">
        <f>D4+D5+D6+D7+D12+D15+D19+D24+D28+D29+D30+D39+D40</f>
        <v>-52888.88320999999</v>
      </c>
      <c r="G43" s="20"/>
    </row>
    <row r="44" spans="1:4" ht="15.75" thickBot="1">
      <c r="A44" s="13" t="s">
        <v>17</v>
      </c>
      <c r="B44" s="13" t="s">
        <v>78</v>
      </c>
      <c r="C44" s="14">
        <f>SUM(C45:C46)</f>
        <v>18.5574</v>
      </c>
      <c r="D44" s="14">
        <f>SUM(D45:D46)</f>
        <v>555.83223</v>
      </c>
    </row>
    <row r="45" spans="1:4" ht="15.75" thickBot="1">
      <c r="A45" s="13" t="s">
        <v>79</v>
      </c>
      <c r="B45" s="13" t="s">
        <v>80</v>
      </c>
      <c r="C45" s="14">
        <v>18.5574</v>
      </c>
      <c r="D45" s="14">
        <v>555.83223</v>
      </c>
    </row>
    <row r="46" spans="1:4" ht="15.75" thickBot="1">
      <c r="A46" s="13" t="s">
        <v>81</v>
      </c>
      <c r="B46" s="13" t="s">
        <v>82</v>
      </c>
      <c r="C46" s="14"/>
      <c r="D46" s="14"/>
    </row>
    <row r="47" spans="1:4" ht="15.75" thickBot="1">
      <c r="A47" s="13" t="s">
        <v>17</v>
      </c>
      <c r="B47" s="13" t="s">
        <v>83</v>
      </c>
      <c r="C47" s="14">
        <f>SUM(C48:C50)</f>
        <v>-3074.82418</v>
      </c>
      <c r="D47" s="14">
        <f>SUM(D48:D50)</f>
        <v>-16063.4605</v>
      </c>
    </row>
    <row r="48" spans="1:4" ht="45.75" thickBot="1">
      <c r="A48" s="13" t="s">
        <v>84</v>
      </c>
      <c r="B48" s="13" t="s">
        <v>85</v>
      </c>
      <c r="C48" s="14"/>
      <c r="D48" s="14"/>
    </row>
    <row r="49" spans="1:4" ht="57" thickBot="1">
      <c r="A49" s="13" t="s">
        <v>86</v>
      </c>
      <c r="B49" s="13" t="s">
        <v>87</v>
      </c>
      <c r="C49" s="14">
        <v>-3074.82418</v>
      </c>
      <c r="D49" s="14">
        <v>-16063.4605</v>
      </c>
    </row>
    <row r="50" spans="1:4" ht="15.75" thickBot="1">
      <c r="A50" s="13" t="s">
        <v>88</v>
      </c>
      <c r="B50" s="13" t="s">
        <v>89</v>
      </c>
      <c r="C50" s="14"/>
      <c r="D50" s="14"/>
    </row>
    <row r="51" spans="1:4" ht="15.75" thickBot="1">
      <c r="A51" s="13" t="s">
        <v>90</v>
      </c>
      <c r="B51" s="13" t="s">
        <v>91</v>
      </c>
      <c r="C51" s="14"/>
      <c r="D51" s="14"/>
    </row>
    <row r="52" spans="1:4" ht="15.75" thickBot="1">
      <c r="A52" s="13" t="s">
        <v>92</v>
      </c>
      <c r="B52" s="13" t="s">
        <v>93</v>
      </c>
      <c r="C52" s="14">
        <v>-0.11341</v>
      </c>
      <c r="D52" s="14">
        <v>7.74886</v>
      </c>
    </row>
    <row r="53" spans="1:4" ht="23.25" thickBot="1">
      <c r="A53" s="13" t="s">
        <v>94</v>
      </c>
      <c r="B53" s="13" t="s">
        <v>95</v>
      </c>
      <c r="C53" s="14"/>
      <c r="D53" s="14"/>
    </row>
    <row r="54" spans="1:4" ht="15.75" thickBot="1">
      <c r="A54" s="13" t="s">
        <v>17</v>
      </c>
      <c r="B54" s="13" t="s">
        <v>96</v>
      </c>
      <c r="C54" s="14"/>
      <c r="D54" s="14"/>
    </row>
    <row r="55" spans="1:4" ht="15.75" thickBot="1">
      <c r="A55" s="11" t="s">
        <v>17</v>
      </c>
      <c r="B55" s="11" t="s">
        <v>97</v>
      </c>
      <c r="C55" s="12">
        <f>C44+C47+C51+C52+C53+C54</f>
        <v>-3056.38019</v>
      </c>
      <c r="D55" s="12">
        <f>D44+D47+D51+D52+D53+D54</f>
        <v>-15499.87941</v>
      </c>
    </row>
    <row r="56" spans="1:4" ht="15.75" thickBot="1">
      <c r="A56" s="11" t="s">
        <v>17</v>
      </c>
      <c r="B56" s="11" t="s">
        <v>98</v>
      </c>
      <c r="C56" s="12">
        <f>C43+C55</f>
        <v>22023.534940000016</v>
      </c>
      <c r="D56" s="12">
        <f>D43+D55</f>
        <v>-68388.76262</v>
      </c>
    </row>
    <row r="57" spans="1:4" ht="15.75" thickBot="1">
      <c r="A57" s="13" t="s">
        <v>99</v>
      </c>
      <c r="B57" s="13" t="s">
        <v>100</v>
      </c>
      <c r="C57" s="14">
        <v>0</v>
      </c>
      <c r="D57" s="14">
        <v>-84.05215</v>
      </c>
    </row>
    <row r="58" spans="1:4" ht="23.25" thickBot="1">
      <c r="A58" s="11" t="s">
        <v>17</v>
      </c>
      <c r="B58" s="11" t="s">
        <v>101</v>
      </c>
      <c r="C58" s="12">
        <f>C56+C57</f>
        <v>22023.534940000016</v>
      </c>
      <c r="D58" s="12">
        <f>D43+D55+D57</f>
        <v>-68472.81477</v>
      </c>
    </row>
    <row r="59" spans="1:4" ht="15.75" thickBot="1">
      <c r="A59" s="15"/>
      <c r="B59" s="15" t="s">
        <v>102</v>
      </c>
      <c r="C59" s="18">
        <f>C60</f>
        <v>0</v>
      </c>
      <c r="D59" s="18">
        <f>D60</f>
        <v>0</v>
      </c>
    </row>
    <row r="60" spans="1:4" ht="15.75" thickBot="1">
      <c r="A60" s="13" t="s">
        <v>17</v>
      </c>
      <c r="B60" s="13" t="s">
        <v>103</v>
      </c>
      <c r="C60" s="14"/>
      <c r="D60" s="14"/>
    </row>
    <row r="61" spans="1:4" ht="15.75" thickBot="1">
      <c r="A61" s="13" t="s">
        <v>17</v>
      </c>
      <c r="B61" s="13" t="s">
        <v>104</v>
      </c>
      <c r="C61" s="14">
        <f>C58+C60</f>
        <v>22023.534940000016</v>
      </c>
      <c r="D61" s="14">
        <f>D58+D60</f>
        <v>-68472.81477</v>
      </c>
    </row>
    <row r="63" spans="3:4" ht="15">
      <c r="C63" s="20"/>
      <c r="D63" s="20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9.7109375" style="0" customWidth="1"/>
    <col min="2" max="2" width="45.7109375" style="0" customWidth="1"/>
    <col min="3" max="3" width="22.7109375" style="0" customWidth="1"/>
    <col min="4" max="4" width="22.8515625" style="0" customWidth="1"/>
  </cols>
  <sheetData>
    <row r="1" spans="1:4" ht="15.75" thickBot="1">
      <c r="A1" s="60" t="s">
        <v>5</v>
      </c>
      <c r="B1" s="60"/>
      <c r="C1" s="60"/>
      <c r="D1" s="60"/>
    </row>
    <row r="2" spans="1:4" ht="15.75" thickBot="1">
      <c r="A2" s="32" t="s">
        <v>4</v>
      </c>
      <c r="B2" s="32" t="s">
        <v>133</v>
      </c>
      <c r="C2" s="32" t="s">
        <v>6</v>
      </c>
      <c r="D2" s="32" t="s">
        <v>7</v>
      </c>
    </row>
    <row r="3" spans="1:4" ht="15">
      <c r="A3" s="33"/>
      <c r="B3" s="34" t="s">
        <v>10</v>
      </c>
      <c r="C3" s="35" t="s">
        <v>4</v>
      </c>
      <c r="D3" s="35" t="s">
        <v>4</v>
      </c>
    </row>
    <row r="4" spans="1:4" ht="24">
      <c r="A4" s="36" t="s">
        <v>11</v>
      </c>
      <c r="B4" s="36" t="s">
        <v>12</v>
      </c>
      <c r="C4" s="37">
        <v>0</v>
      </c>
      <c r="D4" s="37">
        <v>0</v>
      </c>
    </row>
    <row r="5" spans="1:4" ht="24">
      <c r="A5" s="36" t="s">
        <v>13</v>
      </c>
      <c r="B5" s="36" t="s">
        <v>14</v>
      </c>
      <c r="C5" s="37">
        <v>0</v>
      </c>
      <c r="D5" s="37">
        <v>0</v>
      </c>
    </row>
    <row r="6" spans="1:4" ht="24">
      <c r="A6" s="36" t="s">
        <v>15</v>
      </c>
      <c r="B6" s="36" t="s">
        <v>16</v>
      </c>
      <c r="C6" s="37">
        <v>0</v>
      </c>
      <c r="D6" s="37">
        <v>0</v>
      </c>
    </row>
    <row r="7" spans="1:4" ht="15">
      <c r="A7" s="36"/>
      <c r="B7" s="36" t="s">
        <v>18</v>
      </c>
      <c r="C7" s="38">
        <f>+C8+C9+C10+C11</f>
        <v>0</v>
      </c>
      <c r="D7" s="38">
        <f>+D8+D9+D10+D11</f>
        <v>0</v>
      </c>
    </row>
    <row r="8" spans="1:4" ht="15">
      <c r="A8" s="36" t="s">
        <v>19</v>
      </c>
      <c r="B8" s="36" t="s">
        <v>134</v>
      </c>
      <c r="C8" s="37">
        <v>0</v>
      </c>
      <c r="D8" s="37">
        <v>0</v>
      </c>
    </row>
    <row r="9" spans="1:4" ht="35.25">
      <c r="A9" s="36" t="s">
        <v>21</v>
      </c>
      <c r="B9" s="36" t="s">
        <v>135</v>
      </c>
      <c r="C9" s="37">
        <v>0</v>
      </c>
      <c r="D9" s="37">
        <v>0</v>
      </c>
    </row>
    <row r="10" spans="1:4" ht="15">
      <c r="A10" s="36" t="s">
        <v>23</v>
      </c>
      <c r="B10" s="36" t="s">
        <v>136</v>
      </c>
      <c r="C10" s="37">
        <v>0</v>
      </c>
      <c r="D10" s="37">
        <v>0</v>
      </c>
    </row>
    <row r="11" spans="1:4" ht="24">
      <c r="A11" s="36" t="s">
        <v>25</v>
      </c>
      <c r="B11" s="36" t="s">
        <v>137</v>
      </c>
      <c r="C11" s="37">
        <v>0</v>
      </c>
      <c r="D11" s="37">
        <v>0</v>
      </c>
    </row>
    <row r="12" spans="1:4" ht="15">
      <c r="A12" s="36"/>
      <c r="B12" s="36" t="s">
        <v>27</v>
      </c>
      <c r="C12" s="38">
        <f>+C13+C14</f>
        <v>0</v>
      </c>
      <c r="D12" s="38">
        <f>+D13+D14</f>
        <v>0</v>
      </c>
    </row>
    <row r="13" spans="1:4" ht="24">
      <c r="A13" s="36" t="s">
        <v>28</v>
      </c>
      <c r="B13" s="36" t="s">
        <v>138</v>
      </c>
      <c r="C13" s="37">
        <v>0</v>
      </c>
      <c r="D13" s="37">
        <v>0</v>
      </c>
    </row>
    <row r="14" spans="1:4" ht="24">
      <c r="A14" s="36" t="s">
        <v>30</v>
      </c>
      <c r="B14" s="36" t="s">
        <v>139</v>
      </c>
      <c r="C14" s="37">
        <v>0</v>
      </c>
      <c r="D14" s="37">
        <v>0</v>
      </c>
    </row>
    <row r="15" spans="1:4" ht="15">
      <c r="A15" s="36"/>
      <c r="B15" s="36" t="s">
        <v>32</v>
      </c>
      <c r="C15" s="38">
        <f>+C16+C17+C18</f>
        <v>0</v>
      </c>
      <c r="D15" s="38">
        <f>+D16+D17+D18</f>
        <v>0</v>
      </c>
    </row>
    <row r="16" spans="1:4" ht="15">
      <c r="A16" s="36" t="s">
        <v>33</v>
      </c>
      <c r="B16" s="36" t="s">
        <v>140</v>
      </c>
      <c r="C16" s="37">
        <v>0</v>
      </c>
      <c r="D16" s="37">
        <v>0</v>
      </c>
    </row>
    <row r="17" spans="1:4" ht="15">
      <c r="A17" s="36" t="s">
        <v>35</v>
      </c>
      <c r="B17" s="36" t="s">
        <v>141</v>
      </c>
      <c r="C17" s="37">
        <v>0</v>
      </c>
      <c r="D17" s="37">
        <v>0</v>
      </c>
    </row>
    <row r="18" spans="1:4" ht="15">
      <c r="A18" s="36" t="s">
        <v>37</v>
      </c>
      <c r="B18" s="36" t="s">
        <v>142</v>
      </c>
      <c r="C18" s="37">
        <v>0</v>
      </c>
      <c r="D18" s="37">
        <v>0</v>
      </c>
    </row>
    <row r="19" spans="1:4" ht="15">
      <c r="A19" s="36"/>
      <c r="B19" s="36" t="s">
        <v>39</v>
      </c>
      <c r="C19" s="38">
        <f>+C20+C21+C22+C23</f>
        <v>-70</v>
      </c>
      <c r="D19" s="38">
        <f>+D20+D21+D22+D23</f>
        <v>-7</v>
      </c>
    </row>
    <row r="20" spans="1:4" ht="35.25">
      <c r="A20" s="36" t="s">
        <v>40</v>
      </c>
      <c r="B20" s="36" t="s">
        <v>143</v>
      </c>
      <c r="C20" s="37">
        <v>-70</v>
      </c>
      <c r="D20" s="37">
        <v>-7</v>
      </c>
    </row>
    <row r="21" spans="1:4" ht="15">
      <c r="A21" s="36" t="s">
        <v>42</v>
      </c>
      <c r="B21" s="36" t="s">
        <v>144</v>
      </c>
      <c r="C21" s="37">
        <v>0</v>
      </c>
      <c r="D21" s="37">
        <v>0</v>
      </c>
    </row>
    <row r="22" spans="1:4" ht="24">
      <c r="A22" s="36" t="s">
        <v>44</v>
      </c>
      <c r="B22" s="36" t="s">
        <v>145</v>
      </c>
      <c r="C22" s="37">
        <v>0</v>
      </c>
      <c r="D22" s="37">
        <v>0</v>
      </c>
    </row>
    <row r="23" spans="1:4" ht="15">
      <c r="A23" s="36" t="s">
        <v>46</v>
      </c>
      <c r="B23" s="36" t="s">
        <v>146</v>
      </c>
      <c r="C23" s="37">
        <v>0</v>
      </c>
      <c r="D23" s="37">
        <v>0</v>
      </c>
    </row>
    <row r="24" spans="1:4" ht="15">
      <c r="A24" s="36"/>
      <c r="B24" s="36" t="s">
        <v>48</v>
      </c>
      <c r="C24" s="38">
        <f>+C25+C26+C27</f>
        <v>0</v>
      </c>
      <c r="D24" s="38">
        <f>+D25+D26+D27</f>
        <v>0</v>
      </c>
    </row>
    <row r="25" spans="1:4" ht="15">
      <c r="A25" s="36" t="s">
        <v>49</v>
      </c>
      <c r="B25" s="36" t="s">
        <v>147</v>
      </c>
      <c r="C25" s="37">
        <v>0</v>
      </c>
      <c r="D25" s="37">
        <v>0</v>
      </c>
    </row>
    <row r="26" spans="1:4" ht="15">
      <c r="A26" s="36" t="s">
        <v>51</v>
      </c>
      <c r="B26" s="36" t="s">
        <v>148</v>
      </c>
      <c r="C26" s="37">
        <v>0</v>
      </c>
      <c r="D26" s="37">
        <v>0</v>
      </c>
    </row>
    <row r="27" spans="1:4" ht="15">
      <c r="A27" s="36" t="s">
        <v>53</v>
      </c>
      <c r="B27" s="36" t="s">
        <v>149</v>
      </c>
      <c r="C27" s="37">
        <v>0</v>
      </c>
      <c r="D27" s="37">
        <v>0</v>
      </c>
    </row>
    <row r="28" spans="1:4" ht="24">
      <c r="A28" s="36"/>
      <c r="B28" s="36" t="s">
        <v>55</v>
      </c>
      <c r="C28" s="37">
        <v>0</v>
      </c>
      <c r="D28" s="37">
        <v>0</v>
      </c>
    </row>
    <row r="29" spans="1:4" ht="15">
      <c r="A29" s="36" t="s">
        <v>56</v>
      </c>
      <c r="B29" s="36" t="s">
        <v>57</v>
      </c>
      <c r="C29" s="37">
        <v>0</v>
      </c>
      <c r="D29" s="37">
        <v>0</v>
      </c>
    </row>
    <row r="30" spans="1:4" ht="24">
      <c r="A30" s="36"/>
      <c r="B30" s="36" t="s">
        <v>58</v>
      </c>
      <c r="C30" s="38">
        <f>+C31+C35</f>
        <v>0</v>
      </c>
      <c r="D30" s="38">
        <f>+D31+D35</f>
        <v>0</v>
      </c>
    </row>
    <row r="31" spans="1:4" ht="15">
      <c r="A31" s="36"/>
      <c r="B31" s="36" t="s">
        <v>150</v>
      </c>
      <c r="C31" s="38">
        <f>+C32+C33+C34</f>
        <v>0</v>
      </c>
      <c r="D31" s="38">
        <f>+D32+D33+D34</f>
        <v>0</v>
      </c>
    </row>
    <row r="32" spans="1:4" ht="15">
      <c r="A32" s="36" t="s">
        <v>60</v>
      </c>
      <c r="B32" s="36" t="s">
        <v>151</v>
      </c>
      <c r="C32" s="37">
        <v>0</v>
      </c>
      <c r="D32" s="37">
        <v>0</v>
      </c>
    </row>
    <row r="33" spans="1:4" ht="15">
      <c r="A33" s="36" t="s">
        <v>62</v>
      </c>
      <c r="B33" s="36" t="s">
        <v>152</v>
      </c>
      <c r="C33" s="37">
        <v>0</v>
      </c>
      <c r="D33" s="37">
        <v>0</v>
      </c>
    </row>
    <row r="34" spans="1:4" ht="15">
      <c r="A34" s="36" t="s">
        <v>64</v>
      </c>
      <c r="B34" s="36" t="s">
        <v>153</v>
      </c>
      <c r="C34" s="37">
        <v>0</v>
      </c>
      <c r="D34" s="37">
        <v>0</v>
      </c>
    </row>
    <row r="35" spans="1:4" ht="15">
      <c r="A35" s="36"/>
      <c r="B35" s="36" t="s">
        <v>154</v>
      </c>
      <c r="C35" s="38">
        <f>+C36+C37+C38</f>
        <v>0</v>
      </c>
      <c r="D35" s="38">
        <f>+D36+D37+D38</f>
        <v>0</v>
      </c>
    </row>
    <row r="36" spans="1:4" ht="15">
      <c r="A36" s="36" t="s">
        <v>67</v>
      </c>
      <c r="B36" s="36" t="s">
        <v>151</v>
      </c>
      <c r="C36" s="37">
        <v>0</v>
      </c>
      <c r="D36" s="37">
        <v>0</v>
      </c>
    </row>
    <row r="37" spans="1:4" ht="15">
      <c r="A37" s="36" t="s">
        <v>68</v>
      </c>
      <c r="B37" s="36" t="s">
        <v>152</v>
      </c>
      <c r="C37" s="37">
        <v>0</v>
      </c>
      <c r="D37" s="37">
        <v>0</v>
      </c>
    </row>
    <row r="38" spans="1:4" ht="15">
      <c r="A38" s="36" t="s">
        <v>69</v>
      </c>
      <c r="B38" s="36" t="s">
        <v>153</v>
      </c>
      <c r="C38" s="37">
        <v>0</v>
      </c>
      <c r="D38" s="37">
        <v>0</v>
      </c>
    </row>
    <row r="39" spans="1:4" ht="24">
      <c r="A39" s="36" t="s">
        <v>155</v>
      </c>
      <c r="B39" s="36" t="s">
        <v>71</v>
      </c>
      <c r="C39" s="37">
        <v>0</v>
      </c>
      <c r="D39" s="37">
        <v>0</v>
      </c>
    </row>
    <row r="40" spans="1:4" ht="15">
      <c r="A40" s="36" t="s">
        <v>155</v>
      </c>
      <c r="B40" s="36" t="s">
        <v>72</v>
      </c>
      <c r="C40" s="38">
        <f>+C41+C42</f>
        <v>7</v>
      </c>
      <c r="D40" s="38">
        <f>+D41+D42</f>
        <v>0</v>
      </c>
    </row>
    <row r="41" spans="1:4" ht="15">
      <c r="A41" s="36" t="s">
        <v>73</v>
      </c>
      <c r="B41" s="36" t="s">
        <v>156</v>
      </c>
      <c r="C41" s="37">
        <v>-6</v>
      </c>
      <c r="D41" s="37">
        <v>0</v>
      </c>
    </row>
    <row r="42" spans="1:4" ht="15">
      <c r="A42" s="36" t="s">
        <v>75</v>
      </c>
      <c r="B42" s="36" t="s">
        <v>157</v>
      </c>
      <c r="C42" s="37">
        <v>13</v>
      </c>
      <c r="D42" s="37">
        <v>0</v>
      </c>
    </row>
    <row r="43" spans="1:4" ht="24">
      <c r="A43" s="39"/>
      <c r="B43" s="39" t="s">
        <v>77</v>
      </c>
      <c r="C43" s="40">
        <f>+C4+C5+C6+C7+C12+C15+C19+C24+C28+C29+C30+C39+C40</f>
        <v>-63</v>
      </c>
      <c r="D43" s="40">
        <f>+D4+D5+D6+D7+D12+D15+D19+D24+D28+D29+D30+D39+D40</f>
        <v>-7</v>
      </c>
    </row>
    <row r="44" spans="1:4" ht="15">
      <c r="A44" s="36"/>
      <c r="B44" s="36" t="s">
        <v>78</v>
      </c>
      <c r="C44" s="38">
        <f>+C45+C46</f>
        <v>0</v>
      </c>
      <c r="D44" s="38">
        <f>+D45+D46</f>
        <v>0</v>
      </c>
    </row>
    <row r="45" spans="1:4" ht="24">
      <c r="A45" s="36" t="s">
        <v>79</v>
      </c>
      <c r="B45" s="36" t="s">
        <v>158</v>
      </c>
      <c r="C45" s="37">
        <v>0</v>
      </c>
      <c r="D45" s="37">
        <v>0</v>
      </c>
    </row>
    <row r="46" spans="1:4" ht="24">
      <c r="A46" s="36" t="s">
        <v>81</v>
      </c>
      <c r="B46" s="36" t="s">
        <v>159</v>
      </c>
      <c r="C46" s="37">
        <v>0</v>
      </c>
      <c r="D46" s="37">
        <v>0</v>
      </c>
    </row>
    <row r="47" spans="1:4" ht="15">
      <c r="A47" s="36"/>
      <c r="B47" s="36" t="s">
        <v>83</v>
      </c>
      <c r="C47" s="38">
        <f>+C48+C49+C50</f>
        <v>0</v>
      </c>
      <c r="D47" s="38">
        <f>+D48+D49+D50</f>
        <v>0</v>
      </c>
    </row>
    <row r="48" spans="1:4" ht="35.25">
      <c r="A48" s="36" t="s">
        <v>84</v>
      </c>
      <c r="B48" s="36" t="s">
        <v>160</v>
      </c>
      <c r="C48" s="37">
        <v>0</v>
      </c>
      <c r="D48" s="37">
        <v>0</v>
      </c>
    </row>
    <row r="49" spans="1:4" ht="46.5">
      <c r="A49" s="36" t="s">
        <v>86</v>
      </c>
      <c r="B49" s="36" t="s">
        <v>161</v>
      </c>
      <c r="C49" s="37">
        <v>0</v>
      </c>
      <c r="D49" s="37">
        <v>0</v>
      </c>
    </row>
    <row r="50" spans="1:4" ht="15">
      <c r="A50" s="36" t="s">
        <v>88</v>
      </c>
      <c r="B50" s="36" t="s">
        <v>162</v>
      </c>
      <c r="C50" s="37">
        <v>0</v>
      </c>
      <c r="D50" s="37">
        <v>0</v>
      </c>
    </row>
    <row r="51" spans="1:4" ht="24">
      <c r="A51" s="36" t="s">
        <v>90</v>
      </c>
      <c r="B51" s="36" t="s">
        <v>91</v>
      </c>
      <c r="C51" s="37">
        <v>0</v>
      </c>
      <c r="D51" s="37">
        <v>0</v>
      </c>
    </row>
    <row r="52" spans="1:4" ht="15">
      <c r="A52" s="36" t="s">
        <v>92</v>
      </c>
      <c r="B52" s="36" t="s">
        <v>93</v>
      </c>
      <c r="C52" s="37">
        <v>0</v>
      </c>
      <c r="D52" s="37">
        <v>0</v>
      </c>
    </row>
    <row r="53" spans="1:4" ht="24">
      <c r="A53" s="36" t="s">
        <v>94</v>
      </c>
      <c r="B53" s="36" t="s">
        <v>95</v>
      </c>
      <c r="C53" s="37">
        <v>1</v>
      </c>
      <c r="D53" s="37">
        <v>0</v>
      </c>
    </row>
    <row r="54" spans="1:4" ht="24">
      <c r="A54" s="36"/>
      <c r="B54" s="36" t="s">
        <v>96</v>
      </c>
      <c r="C54" s="37">
        <v>0</v>
      </c>
      <c r="D54" s="37">
        <v>0</v>
      </c>
    </row>
    <row r="55" spans="1:4" ht="24">
      <c r="A55" s="39"/>
      <c r="B55" s="39" t="s">
        <v>97</v>
      </c>
      <c r="C55" s="40">
        <f>+C44+C47+C51+C52+C53+C54</f>
        <v>1</v>
      </c>
      <c r="D55" s="40">
        <f>+D44+D47+D51+D52+D53+D54</f>
        <v>0</v>
      </c>
    </row>
    <row r="56" spans="1:4" ht="24">
      <c r="A56" s="39"/>
      <c r="B56" s="39" t="s">
        <v>98</v>
      </c>
      <c r="C56" s="40">
        <f>+C43+C55</f>
        <v>-62</v>
      </c>
      <c r="D56" s="40">
        <f>+D43+D55</f>
        <v>-7</v>
      </c>
    </row>
    <row r="57" spans="1:4" ht="15">
      <c r="A57" s="36" t="s">
        <v>99</v>
      </c>
      <c r="B57" s="36" t="s">
        <v>100</v>
      </c>
      <c r="C57" s="37">
        <v>0</v>
      </c>
      <c r="D57" s="37">
        <v>0</v>
      </c>
    </row>
    <row r="58" spans="1:4" ht="35.25">
      <c r="A58" s="39"/>
      <c r="B58" s="39" t="s">
        <v>101</v>
      </c>
      <c r="C58" s="40">
        <f>+C56+C57</f>
        <v>-62</v>
      </c>
      <c r="D58" s="40">
        <f>+D56+D57</f>
        <v>-7</v>
      </c>
    </row>
    <row r="59" spans="1:4" ht="15">
      <c r="A59" s="33"/>
      <c r="B59" s="34" t="s">
        <v>102</v>
      </c>
      <c r="C59" s="35" t="s">
        <v>4</v>
      </c>
      <c r="D59" s="35" t="s">
        <v>4</v>
      </c>
    </row>
    <row r="60" spans="1:4" ht="24">
      <c r="A60" s="36"/>
      <c r="B60" s="36" t="s">
        <v>103</v>
      </c>
      <c r="C60" s="37">
        <v>0</v>
      </c>
      <c r="D60" s="37">
        <v>0</v>
      </c>
    </row>
    <row r="61" spans="1:4" ht="15">
      <c r="A61" s="36"/>
      <c r="B61" s="36" t="s">
        <v>104</v>
      </c>
      <c r="C61" s="40">
        <f>+C58+C60</f>
        <v>-62</v>
      </c>
      <c r="D61" s="40">
        <f>+D58+D60</f>
        <v>-7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4" sqref="A4:D64"/>
    </sheetView>
  </sheetViews>
  <sheetFormatPr defaultColWidth="11.421875" defaultRowHeight="15"/>
  <cols>
    <col min="1" max="1" width="47.57421875" style="0" bestFit="1" customWidth="1"/>
    <col min="2" max="2" width="66.7109375" style="0" bestFit="1" customWidth="1"/>
    <col min="3" max="4" width="19.00390625" style="0" bestFit="1" customWidth="1"/>
  </cols>
  <sheetData>
    <row r="1" spans="1:4" ht="39.75" customHeight="1" thickBot="1">
      <c r="A1" s="61" t="s">
        <v>105</v>
      </c>
      <c r="B1" s="62"/>
      <c r="C1" s="62"/>
      <c r="D1" s="63"/>
    </row>
    <row r="2" spans="1:4" ht="19.5" customHeight="1">
      <c r="A2" s="64" t="s">
        <v>4</v>
      </c>
      <c r="B2" s="64"/>
      <c r="C2" s="64"/>
      <c r="D2" s="64"/>
    </row>
    <row r="3" spans="1:4" ht="19.5" customHeight="1">
      <c r="A3" s="64" t="s">
        <v>4</v>
      </c>
      <c r="B3" s="64"/>
      <c r="C3" s="64"/>
      <c r="D3" s="64"/>
    </row>
    <row r="4" spans="1:4" ht="19.5" customHeight="1" thickBot="1">
      <c r="A4" s="60" t="s">
        <v>5</v>
      </c>
      <c r="B4" s="60"/>
      <c r="C4" s="60"/>
      <c r="D4" s="60"/>
    </row>
    <row r="5" spans="1:4" ht="15.75" thickBot="1">
      <c r="A5" s="32" t="s">
        <v>4</v>
      </c>
      <c r="B5" s="32" t="s">
        <v>133</v>
      </c>
      <c r="C5" s="32" t="s">
        <v>6</v>
      </c>
      <c r="D5" s="32" t="s">
        <v>7</v>
      </c>
    </row>
    <row r="6" spans="1:4" ht="15">
      <c r="A6" s="33"/>
      <c r="B6" s="34" t="s">
        <v>10</v>
      </c>
      <c r="C6" s="35" t="s">
        <v>4</v>
      </c>
      <c r="D6" s="35" t="s">
        <v>4</v>
      </c>
    </row>
    <row r="7" spans="1:4" ht="15">
      <c r="A7" s="36" t="s">
        <v>11</v>
      </c>
      <c r="B7" s="36" t="s">
        <v>12</v>
      </c>
      <c r="C7" s="37">
        <v>1804</v>
      </c>
      <c r="D7" s="37">
        <v>7583</v>
      </c>
    </row>
    <row r="8" spans="1:4" ht="24">
      <c r="A8" s="36" t="s">
        <v>13</v>
      </c>
      <c r="B8" s="36" t="s">
        <v>14</v>
      </c>
      <c r="C8" s="37">
        <v>0</v>
      </c>
      <c r="D8" s="37">
        <v>0</v>
      </c>
    </row>
    <row r="9" spans="1:4" ht="15">
      <c r="A9" s="36" t="s">
        <v>15</v>
      </c>
      <c r="B9" s="36" t="s">
        <v>16</v>
      </c>
      <c r="C9" s="37">
        <v>0</v>
      </c>
      <c r="D9" s="37">
        <v>0</v>
      </c>
    </row>
    <row r="10" spans="1:4" ht="15">
      <c r="A10" s="36"/>
      <c r="B10" s="36" t="s">
        <v>18</v>
      </c>
      <c r="C10" s="38">
        <f>+C11+C12+C13+C14</f>
        <v>0</v>
      </c>
      <c r="D10" s="38">
        <f>+D11+D12+D13+D14</f>
        <v>0</v>
      </c>
    </row>
    <row r="11" spans="1:4" ht="15">
      <c r="A11" s="36" t="s">
        <v>19</v>
      </c>
      <c r="B11" s="36" t="s">
        <v>134</v>
      </c>
      <c r="C11" s="37">
        <v>0</v>
      </c>
      <c r="D11" s="37">
        <v>0</v>
      </c>
    </row>
    <row r="12" spans="1:4" ht="24">
      <c r="A12" s="36" t="s">
        <v>21</v>
      </c>
      <c r="B12" s="36" t="s">
        <v>135</v>
      </c>
      <c r="C12" s="37">
        <v>0</v>
      </c>
      <c r="D12" s="37">
        <v>0</v>
      </c>
    </row>
    <row r="13" spans="1:4" ht="15">
      <c r="A13" s="36" t="s">
        <v>23</v>
      </c>
      <c r="B13" s="36" t="s">
        <v>136</v>
      </c>
      <c r="C13" s="37">
        <v>0</v>
      </c>
      <c r="D13" s="37">
        <v>0</v>
      </c>
    </row>
    <row r="14" spans="1:4" ht="24">
      <c r="A14" s="36" t="s">
        <v>25</v>
      </c>
      <c r="B14" s="36" t="s">
        <v>137</v>
      </c>
      <c r="C14" s="37">
        <v>0</v>
      </c>
      <c r="D14" s="37">
        <v>0</v>
      </c>
    </row>
    <row r="15" spans="1:4" ht="15">
      <c r="A15" s="36"/>
      <c r="B15" s="36" t="s">
        <v>27</v>
      </c>
      <c r="C15" s="38">
        <f>+C16+C17</f>
        <v>58</v>
      </c>
      <c r="D15" s="38">
        <f>+D16+D17</f>
        <v>221</v>
      </c>
    </row>
    <row r="16" spans="1:4" ht="15">
      <c r="A16" s="36" t="s">
        <v>28</v>
      </c>
      <c r="B16" s="36" t="s">
        <v>138</v>
      </c>
      <c r="C16" s="37">
        <v>58</v>
      </c>
      <c r="D16" s="37">
        <v>221</v>
      </c>
    </row>
    <row r="17" spans="1:4" ht="15">
      <c r="A17" s="36" t="s">
        <v>30</v>
      </c>
      <c r="B17" s="36" t="s">
        <v>139</v>
      </c>
      <c r="C17" s="37">
        <v>0</v>
      </c>
      <c r="D17" s="37">
        <v>0</v>
      </c>
    </row>
    <row r="18" spans="1:4" ht="15">
      <c r="A18" s="36"/>
      <c r="B18" s="36" t="s">
        <v>32</v>
      </c>
      <c r="C18" s="38">
        <f>+C19+C20+C21</f>
        <v>-243</v>
      </c>
      <c r="D18" s="38">
        <f>+D19+D20+D21</f>
        <v>-1103</v>
      </c>
    </row>
    <row r="19" spans="1:4" ht="15">
      <c r="A19" s="36" t="s">
        <v>33</v>
      </c>
      <c r="B19" s="36" t="s">
        <v>140</v>
      </c>
      <c r="C19" s="37">
        <v>-195</v>
      </c>
      <c r="D19" s="37">
        <v>-897</v>
      </c>
    </row>
    <row r="20" spans="1:4" ht="15">
      <c r="A20" s="36" t="s">
        <v>35</v>
      </c>
      <c r="B20" s="36" t="s">
        <v>141</v>
      </c>
      <c r="C20" s="37">
        <v>-48</v>
      </c>
      <c r="D20" s="37">
        <v>-206</v>
      </c>
    </row>
    <row r="21" spans="1:4" ht="15">
      <c r="A21" s="36" t="s">
        <v>37</v>
      </c>
      <c r="B21" s="36" t="s">
        <v>142</v>
      </c>
      <c r="C21" s="37">
        <v>0</v>
      </c>
      <c r="D21" s="37">
        <v>0</v>
      </c>
    </row>
    <row r="22" spans="1:4" ht="15">
      <c r="A22" s="36"/>
      <c r="B22" s="36" t="s">
        <v>39</v>
      </c>
      <c r="C22" s="38">
        <f>+C23+C24+C25+C26</f>
        <v>-442</v>
      </c>
      <c r="D22" s="38">
        <f>+D23+D24+D25+D26</f>
        <v>-3294</v>
      </c>
    </row>
    <row r="23" spans="1:4" ht="24">
      <c r="A23" s="36" t="s">
        <v>40</v>
      </c>
      <c r="B23" s="36" t="s">
        <v>143</v>
      </c>
      <c r="C23" s="37">
        <v>-413</v>
      </c>
      <c r="D23" s="37">
        <v>-2152</v>
      </c>
    </row>
    <row r="24" spans="1:4" ht="15">
      <c r="A24" s="36" t="s">
        <v>42</v>
      </c>
      <c r="B24" s="36" t="s">
        <v>144</v>
      </c>
      <c r="C24" s="37">
        <v>-29</v>
      </c>
      <c r="D24" s="37">
        <v>-1076</v>
      </c>
    </row>
    <row r="25" spans="1:4" ht="24">
      <c r="A25" s="36" t="s">
        <v>44</v>
      </c>
      <c r="B25" s="36" t="s">
        <v>145</v>
      </c>
      <c r="C25" s="37">
        <v>0</v>
      </c>
      <c r="D25" s="37">
        <v>-66</v>
      </c>
    </row>
    <row r="26" spans="1:4" ht="15">
      <c r="A26" s="36" t="s">
        <v>46</v>
      </c>
      <c r="B26" s="36" t="s">
        <v>146</v>
      </c>
      <c r="C26" s="37">
        <v>0</v>
      </c>
      <c r="D26" s="37">
        <v>0</v>
      </c>
    </row>
    <row r="27" spans="1:4" ht="15">
      <c r="A27" s="36"/>
      <c r="B27" s="36" t="s">
        <v>48</v>
      </c>
      <c r="C27" s="38">
        <f>+C28+C29+C30</f>
        <v>0</v>
      </c>
      <c r="D27" s="38">
        <f>+D28+D29+D30</f>
        <v>-1323</v>
      </c>
    </row>
    <row r="28" spans="1:4" ht="15">
      <c r="A28" s="36" t="s">
        <v>49</v>
      </c>
      <c r="B28" s="36" t="s">
        <v>147</v>
      </c>
      <c r="C28" s="37">
        <v>0</v>
      </c>
      <c r="D28" s="37">
        <v>0</v>
      </c>
    </row>
    <row r="29" spans="1:4" ht="15">
      <c r="A29" s="36" t="s">
        <v>51</v>
      </c>
      <c r="B29" s="36" t="s">
        <v>148</v>
      </c>
      <c r="C29" s="37">
        <v>0</v>
      </c>
      <c r="D29" s="37">
        <v>-5</v>
      </c>
    </row>
    <row r="30" spans="1:4" ht="15">
      <c r="A30" s="36" t="s">
        <v>53</v>
      </c>
      <c r="B30" s="36" t="s">
        <v>149</v>
      </c>
      <c r="C30" s="37">
        <v>0</v>
      </c>
      <c r="D30" s="37">
        <v>-1318</v>
      </c>
    </row>
    <row r="31" spans="1:4" ht="15">
      <c r="A31" s="36"/>
      <c r="B31" s="36" t="s">
        <v>55</v>
      </c>
      <c r="C31" s="37">
        <v>0</v>
      </c>
      <c r="D31" s="37">
        <v>0</v>
      </c>
    </row>
    <row r="32" spans="1:4" ht="15">
      <c r="A32" s="36" t="s">
        <v>56</v>
      </c>
      <c r="B32" s="36" t="s">
        <v>57</v>
      </c>
      <c r="C32" s="37">
        <v>0</v>
      </c>
      <c r="D32" s="37">
        <v>0</v>
      </c>
    </row>
    <row r="33" spans="1:4" ht="15">
      <c r="A33" s="36"/>
      <c r="B33" s="36" t="s">
        <v>58</v>
      </c>
      <c r="C33" s="38">
        <f>+C34+C38</f>
        <v>0</v>
      </c>
      <c r="D33" s="38">
        <f>+D34+D38</f>
        <v>-1</v>
      </c>
    </row>
    <row r="34" spans="1:4" ht="15">
      <c r="A34" s="36"/>
      <c r="B34" s="36" t="s">
        <v>150</v>
      </c>
      <c r="C34" s="38">
        <f>+C35+C36+C37</f>
        <v>0</v>
      </c>
      <c r="D34" s="38">
        <f>+D35+D36+D37</f>
        <v>0</v>
      </c>
    </row>
    <row r="35" spans="1:4" ht="15">
      <c r="A35" s="36" t="s">
        <v>60</v>
      </c>
      <c r="B35" s="36" t="s">
        <v>151</v>
      </c>
      <c r="C35" s="37">
        <v>0</v>
      </c>
      <c r="D35" s="37">
        <v>0</v>
      </c>
    </row>
    <row r="36" spans="1:4" ht="15">
      <c r="A36" s="36" t="s">
        <v>62</v>
      </c>
      <c r="B36" s="36" t="s">
        <v>152</v>
      </c>
      <c r="C36" s="37">
        <v>0</v>
      </c>
      <c r="D36" s="37">
        <v>0</v>
      </c>
    </row>
    <row r="37" spans="1:4" ht="15">
      <c r="A37" s="36" t="s">
        <v>64</v>
      </c>
      <c r="B37" s="36" t="s">
        <v>153</v>
      </c>
      <c r="C37" s="37">
        <v>0</v>
      </c>
      <c r="D37" s="37">
        <v>0</v>
      </c>
    </row>
    <row r="38" spans="1:4" ht="15">
      <c r="A38" s="36"/>
      <c r="B38" s="36" t="s">
        <v>154</v>
      </c>
      <c r="C38" s="38">
        <f>+C39+C40+C41</f>
        <v>0</v>
      </c>
      <c r="D38" s="38">
        <f>+D39+D40+D41</f>
        <v>-1</v>
      </c>
    </row>
    <row r="39" spans="1:4" ht="15">
      <c r="A39" s="36" t="s">
        <v>67</v>
      </c>
      <c r="B39" s="36" t="s">
        <v>151</v>
      </c>
      <c r="C39" s="37">
        <v>0</v>
      </c>
      <c r="D39" s="37">
        <v>0</v>
      </c>
    </row>
    <row r="40" spans="1:4" ht="15">
      <c r="A40" s="36" t="s">
        <v>68</v>
      </c>
      <c r="B40" s="36" t="s">
        <v>152</v>
      </c>
      <c r="C40" s="37">
        <v>0</v>
      </c>
      <c r="D40" s="37">
        <v>-1</v>
      </c>
    </row>
    <row r="41" spans="1:4" ht="15">
      <c r="A41" s="36" t="s">
        <v>69</v>
      </c>
      <c r="B41" s="36" t="s">
        <v>153</v>
      </c>
      <c r="C41" s="37">
        <v>0</v>
      </c>
      <c r="D41" s="37">
        <v>0</v>
      </c>
    </row>
    <row r="42" spans="1:4" ht="15">
      <c r="A42" s="36" t="s">
        <v>155</v>
      </c>
      <c r="B42" s="36" t="s">
        <v>71</v>
      </c>
      <c r="C42" s="37">
        <v>0</v>
      </c>
      <c r="D42" s="37">
        <v>0</v>
      </c>
    </row>
    <row r="43" spans="1:4" ht="15">
      <c r="A43" s="36" t="s">
        <v>155</v>
      </c>
      <c r="B43" s="36" t="s">
        <v>72</v>
      </c>
      <c r="C43" s="38">
        <f>+C44+C45</f>
        <v>0</v>
      </c>
      <c r="D43" s="38">
        <f>+D44+D45</f>
        <v>0</v>
      </c>
    </row>
    <row r="44" spans="1:4" ht="15">
      <c r="A44" s="36" t="s">
        <v>73</v>
      </c>
      <c r="B44" s="36" t="s">
        <v>156</v>
      </c>
      <c r="C44" s="37">
        <v>0</v>
      </c>
      <c r="D44" s="37">
        <v>0</v>
      </c>
    </row>
    <row r="45" spans="1:4" ht="15">
      <c r="A45" s="36" t="s">
        <v>75</v>
      </c>
      <c r="B45" s="36" t="s">
        <v>157</v>
      </c>
      <c r="C45" s="37">
        <v>0</v>
      </c>
      <c r="D45" s="37">
        <v>0</v>
      </c>
    </row>
    <row r="46" spans="1:4" ht="24">
      <c r="A46" s="39"/>
      <c r="B46" s="39" t="s">
        <v>77</v>
      </c>
      <c r="C46" s="40">
        <f>+C7+C8+C9+C10+C15+C18+C22+C27+C31+C32+C33+C42+C43</f>
        <v>1177</v>
      </c>
      <c r="D46" s="40">
        <f>+D7+D8+D9+D10+D15+D18+D22+D27+D31+D32+D33+D42+D43</f>
        <v>2083</v>
      </c>
    </row>
    <row r="47" spans="1:4" ht="15">
      <c r="A47" s="36"/>
      <c r="B47" s="36" t="s">
        <v>78</v>
      </c>
      <c r="C47" s="38">
        <f>+C48+C49</f>
        <v>8</v>
      </c>
      <c r="D47" s="38">
        <f>+D48+D49</f>
        <v>115</v>
      </c>
    </row>
    <row r="48" spans="1:4" ht="15">
      <c r="A48" s="36" t="s">
        <v>79</v>
      </c>
      <c r="B48" s="36" t="s">
        <v>158</v>
      </c>
      <c r="C48" s="37">
        <v>0</v>
      </c>
      <c r="D48" s="37">
        <v>0</v>
      </c>
    </row>
    <row r="49" spans="1:4" ht="15">
      <c r="A49" s="36" t="s">
        <v>81</v>
      </c>
      <c r="B49" s="36" t="s">
        <v>159</v>
      </c>
      <c r="C49" s="37">
        <v>8</v>
      </c>
      <c r="D49" s="37">
        <v>115</v>
      </c>
    </row>
    <row r="50" spans="1:4" ht="15">
      <c r="A50" s="36"/>
      <c r="B50" s="36" t="s">
        <v>83</v>
      </c>
      <c r="C50" s="38">
        <f>+C51+C52+C53</f>
        <v>0</v>
      </c>
      <c r="D50" s="38">
        <f>+D51+D52+D53</f>
        <v>0</v>
      </c>
    </row>
    <row r="51" spans="1:4" ht="24">
      <c r="A51" s="36" t="s">
        <v>84</v>
      </c>
      <c r="B51" s="36" t="s">
        <v>160</v>
      </c>
      <c r="C51" s="37">
        <v>0</v>
      </c>
      <c r="D51" s="37">
        <v>0</v>
      </c>
    </row>
    <row r="52" spans="1:4" ht="35.25">
      <c r="A52" s="36" t="s">
        <v>86</v>
      </c>
      <c r="B52" s="36" t="s">
        <v>161</v>
      </c>
      <c r="C52" s="37">
        <v>0</v>
      </c>
      <c r="D52" s="37">
        <v>0</v>
      </c>
    </row>
    <row r="53" spans="1:4" ht="15">
      <c r="A53" s="36" t="s">
        <v>88</v>
      </c>
      <c r="B53" s="36" t="s">
        <v>162</v>
      </c>
      <c r="C53" s="37">
        <v>0</v>
      </c>
      <c r="D53" s="37">
        <v>0</v>
      </c>
    </row>
    <row r="54" spans="1:4" ht="15">
      <c r="A54" s="36" t="s">
        <v>90</v>
      </c>
      <c r="B54" s="36" t="s">
        <v>91</v>
      </c>
      <c r="C54" s="37">
        <v>0</v>
      </c>
      <c r="D54" s="37">
        <v>0</v>
      </c>
    </row>
    <row r="55" spans="1:4" ht="15">
      <c r="A55" s="36" t="s">
        <v>92</v>
      </c>
      <c r="B55" s="36" t="s">
        <v>93</v>
      </c>
      <c r="C55" s="37">
        <v>0</v>
      </c>
      <c r="D55" s="37">
        <v>0</v>
      </c>
    </row>
    <row r="56" spans="1:4" ht="24">
      <c r="A56" s="36" t="s">
        <v>94</v>
      </c>
      <c r="B56" s="36" t="s">
        <v>95</v>
      </c>
      <c r="C56" s="37">
        <v>0</v>
      </c>
      <c r="D56" s="37">
        <v>0</v>
      </c>
    </row>
    <row r="57" spans="1:4" ht="15">
      <c r="A57" s="36"/>
      <c r="B57" s="36" t="s">
        <v>96</v>
      </c>
      <c r="C57" s="37">
        <v>0</v>
      </c>
      <c r="D57" s="37">
        <v>0</v>
      </c>
    </row>
    <row r="58" spans="1:4" ht="15">
      <c r="A58" s="39"/>
      <c r="B58" s="39" t="s">
        <v>97</v>
      </c>
      <c r="C58" s="40">
        <f>+C47+C50+C54+C55+C56+C57</f>
        <v>8</v>
      </c>
      <c r="D58" s="40">
        <f>+D47+D50+D54+D55+D56+D57</f>
        <v>115</v>
      </c>
    </row>
    <row r="59" spans="1:4" ht="15">
      <c r="A59" s="39"/>
      <c r="B59" s="39" t="s">
        <v>98</v>
      </c>
      <c r="C59" s="40">
        <f>+C46+C58</f>
        <v>1185</v>
      </c>
      <c r="D59" s="40">
        <f>+D46+D58</f>
        <v>2198</v>
      </c>
    </row>
    <row r="60" spans="1:4" ht="15">
      <c r="A60" s="36" t="s">
        <v>99</v>
      </c>
      <c r="B60" s="36" t="s">
        <v>100</v>
      </c>
      <c r="C60" s="37">
        <v>0</v>
      </c>
      <c r="D60" s="37">
        <v>-574</v>
      </c>
    </row>
    <row r="61" spans="1:4" ht="24">
      <c r="A61" s="39"/>
      <c r="B61" s="39" t="s">
        <v>101</v>
      </c>
      <c r="C61" s="40">
        <f>+C59+C60</f>
        <v>1185</v>
      </c>
      <c r="D61" s="40">
        <f>+D59+D60</f>
        <v>1624</v>
      </c>
    </row>
    <row r="62" spans="1:4" ht="15">
      <c r="A62" s="33"/>
      <c r="B62" s="34" t="s">
        <v>102</v>
      </c>
      <c r="C62" s="35" t="s">
        <v>4</v>
      </c>
      <c r="D62" s="35" t="s">
        <v>4</v>
      </c>
    </row>
    <row r="63" spans="1:4" ht="24">
      <c r="A63" s="36"/>
      <c r="B63" s="36" t="s">
        <v>103</v>
      </c>
      <c r="C63" s="37">
        <v>0</v>
      </c>
      <c r="D63" s="37">
        <v>0</v>
      </c>
    </row>
    <row r="64" spans="1:4" ht="15">
      <c r="A64" s="36"/>
      <c r="B64" s="36" t="s">
        <v>104</v>
      </c>
      <c r="C64" s="40">
        <f>+C61+C63</f>
        <v>1185</v>
      </c>
      <c r="D64" s="40">
        <f>+D61+D63</f>
        <v>1624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4" sqref="A4:D64"/>
    </sheetView>
  </sheetViews>
  <sheetFormatPr defaultColWidth="11.421875" defaultRowHeight="15"/>
  <cols>
    <col min="1" max="1" width="47.57421875" style="0" bestFit="1" customWidth="1"/>
    <col min="2" max="2" width="33.00390625" style="0" customWidth="1"/>
    <col min="3" max="4" width="15.140625" style="0" bestFit="1" customWidth="1"/>
  </cols>
  <sheetData>
    <row r="1" spans="1:4" ht="39.75" customHeight="1" thickBot="1">
      <c r="A1" s="61" t="s">
        <v>105</v>
      </c>
      <c r="B1" s="62"/>
      <c r="C1" s="62"/>
      <c r="D1" s="63"/>
    </row>
    <row r="2" spans="1:4" ht="19.5" customHeight="1">
      <c r="A2" s="64" t="s">
        <v>4</v>
      </c>
      <c r="B2" s="64"/>
      <c r="C2" s="64"/>
      <c r="D2" s="64"/>
    </row>
    <row r="3" spans="1:4" ht="19.5" customHeight="1">
      <c r="A3" s="64" t="s">
        <v>4</v>
      </c>
      <c r="B3" s="64"/>
      <c r="C3" s="64"/>
      <c r="D3" s="64"/>
    </row>
    <row r="4" spans="1:4" ht="19.5" customHeight="1" thickBot="1">
      <c r="A4" s="60" t="s">
        <v>106</v>
      </c>
      <c r="B4" s="60"/>
      <c r="C4" s="60"/>
      <c r="D4" s="60"/>
    </row>
    <row r="5" spans="1:4" ht="23.25" thickBot="1">
      <c r="A5" s="32" t="s">
        <v>4</v>
      </c>
      <c r="B5" s="32" t="s">
        <v>8</v>
      </c>
      <c r="C5" s="47">
        <v>42825</v>
      </c>
      <c r="D5" s="32">
        <v>2016</v>
      </c>
    </row>
    <row r="6" spans="1:4" ht="24">
      <c r="A6" s="33" t="s">
        <v>4</v>
      </c>
      <c r="B6" s="34" t="s">
        <v>10</v>
      </c>
      <c r="C6" s="35" t="s">
        <v>4</v>
      </c>
      <c r="D6" s="35" t="s">
        <v>4</v>
      </c>
    </row>
    <row r="7" spans="1:4" ht="24">
      <c r="A7" s="36" t="s">
        <v>11</v>
      </c>
      <c r="B7" s="36" t="s">
        <v>12</v>
      </c>
      <c r="C7" s="37">
        <f>ROUND('[3]proyec gastos e ingresos'!$G$105/1000,0)</f>
        <v>126</v>
      </c>
      <c r="D7" s="37">
        <f>ROUND('[3]proyec gastos e ingresos'!$J$105/1000,0)</f>
        <v>688</v>
      </c>
    </row>
    <row r="8" spans="1:4" ht="35.25">
      <c r="A8" s="36" t="s">
        <v>13</v>
      </c>
      <c r="B8" s="36" t="s">
        <v>14</v>
      </c>
      <c r="C8" s="37"/>
      <c r="D8" s="37"/>
    </row>
    <row r="9" spans="1:4" ht="24">
      <c r="A9" s="36" t="s">
        <v>15</v>
      </c>
      <c r="B9" s="36" t="s">
        <v>16</v>
      </c>
      <c r="C9" s="37"/>
      <c r="D9" s="37"/>
    </row>
    <row r="10" spans="1:4" ht="15">
      <c r="A10" s="36" t="s">
        <v>17</v>
      </c>
      <c r="B10" s="36" t="s">
        <v>18</v>
      </c>
      <c r="C10" s="38">
        <f>SUM(C11:C14)</f>
        <v>-11062</v>
      </c>
      <c r="D10" s="38">
        <f>SUM(D11:D14)</f>
        <v>-41196</v>
      </c>
    </row>
    <row r="11" spans="1:4" ht="15">
      <c r="A11" s="36" t="s">
        <v>19</v>
      </c>
      <c r="B11" s="36" t="s">
        <v>20</v>
      </c>
      <c r="C11" s="37">
        <f>-ROUND('[3]proyec gastos e ingresos'!$G$6/1000,0)</f>
        <v>-9412</v>
      </c>
      <c r="D11" s="37">
        <f>-ROUND('[3]proyec gastos e ingresos'!$J$6/1000,0)</f>
        <v>-34186</v>
      </c>
    </row>
    <row r="12" spans="1:4" ht="35.25">
      <c r="A12" s="36" t="s">
        <v>21</v>
      </c>
      <c r="B12" s="36" t="s">
        <v>22</v>
      </c>
      <c r="C12" s="37"/>
      <c r="D12" s="37"/>
    </row>
    <row r="13" spans="1:4" ht="24">
      <c r="A13" s="36" t="s">
        <v>23</v>
      </c>
      <c r="B13" s="36" t="s">
        <v>24</v>
      </c>
      <c r="C13" s="37">
        <f>-ROUND('[3]proyec gastos e ingresos'!$G$24/1000,0)</f>
        <v>-1650</v>
      </c>
      <c r="D13" s="37">
        <f>-ROUND('[3]proyec gastos e ingresos'!$J$24/1000,0)</f>
        <v>-7010</v>
      </c>
    </row>
    <row r="14" spans="1:4" ht="35.25">
      <c r="A14" s="36" t="s">
        <v>25</v>
      </c>
      <c r="B14" s="36" t="s">
        <v>26</v>
      </c>
      <c r="C14" s="37"/>
      <c r="D14" s="37"/>
    </row>
    <row r="15" spans="1:4" ht="15">
      <c r="A15" s="36" t="s">
        <v>17</v>
      </c>
      <c r="B15" s="36" t="s">
        <v>27</v>
      </c>
      <c r="C15" s="38">
        <f>SUM(C16:C17)</f>
        <v>225</v>
      </c>
      <c r="D15" s="38">
        <f>SUM(D16:D17)</f>
        <v>1060</v>
      </c>
    </row>
    <row r="16" spans="1:4" ht="24">
      <c r="A16" s="36" t="s">
        <v>28</v>
      </c>
      <c r="B16" s="36" t="s">
        <v>29</v>
      </c>
      <c r="C16" s="37">
        <f>+ROUND('[3]proyec gastos e ingresos'!$G$116/1000,0)</f>
        <v>225</v>
      </c>
      <c r="D16" s="37">
        <f>+ROUND('[3]proyec gastos e ingresos'!$J$116/1000,0)</f>
        <v>1060</v>
      </c>
    </row>
    <row r="17" spans="1:4" ht="35.25">
      <c r="A17" s="36" t="s">
        <v>30</v>
      </c>
      <c r="B17" s="36" t="s">
        <v>31</v>
      </c>
      <c r="C17" s="37"/>
      <c r="D17" s="37"/>
    </row>
    <row r="18" spans="1:4" ht="15">
      <c r="A18" s="36" t="s">
        <v>17</v>
      </c>
      <c r="B18" s="36" t="s">
        <v>32</v>
      </c>
      <c r="C18" s="38">
        <f>C19+C20+C21</f>
        <v>-18308</v>
      </c>
      <c r="D18" s="38">
        <f>D19+D20+D21</f>
        <v>-81743</v>
      </c>
    </row>
    <row r="19" spans="1:4" ht="24">
      <c r="A19" s="36" t="s">
        <v>33</v>
      </c>
      <c r="B19" s="36" t="s">
        <v>34</v>
      </c>
      <c r="C19" s="37">
        <f>-ROUND('[3]proyec gastos e ingresos'!$G$33/1000,0)</f>
        <v>-13725</v>
      </c>
      <c r="D19" s="37">
        <f>-ROUND('[3]proyec gastos e ingresos'!$J$33/1000,0)</f>
        <v>-64286</v>
      </c>
    </row>
    <row r="20" spans="1:4" ht="15">
      <c r="A20" s="36" t="s">
        <v>35</v>
      </c>
      <c r="B20" s="36" t="s">
        <v>36</v>
      </c>
      <c r="C20" s="37">
        <f>-ROUND('[3]proyec gastos e ingresos'!$G$37/1000,0)</f>
        <v>-4583</v>
      </c>
      <c r="D20" s="37">
        <f>-ROUND('[3]proyec gastos e ingresos'!$J$37/1000,0)</f>
        <v>-17457</v>
      </c>
    </row>
    <row r="21" spans="1:4" ht="15">
      <c r="A21" s="36" t="s">
        <v>37</v>
      </c>
      <c r="B21" s="36" t="s">
        <v>38</v>
      </c>
      <c r="C21" s="37"/>
      <c r="D21" s="37"/>
    </row>
    <row r="22" spans="1:4" ht="15">
      <c r="A22" s="36" t="s">
        <v>17</v>
      </c>
      <c r="B22" s="36" t="s">
        <v>39</v>
      </c>
      <c r="C22" s="38">
        <f>SUM(C23:C26)</f>
        <v>-2410</v>
      </c>
      <c r="D22" s="38">
        <f>SUM(D23:D26)</f>
        <v>-9473</v>
      </c>
    </row>
    <row r="23" spans="1:4" ht="24">
      <c r="A23" s="36" t="s">
        <v>40</v>
      </c>
      <c r="B23" s="36" t="s">
        <v>41</v>
      </c>
      <c r="C23" s="37">
        <f>-ROUND('[3]proyec gastos e ingresos'!$G$42/1000,0)</f>
        <v>-2366</v>
      </c>
      <c r="D23" s="37">
        <f>-ROUND('[3]proyec gastos e ingresos'!$J$42/1000,0)</f>
        <v>-7929</v>
      </c>
    </row>
    <row r="24" spans="1:4" ht="15">
      <c r="A24" s="36" t="s">
        <v>42</v>
      </c>
      <c r="B24" s="36" t="s">
        <v>43</v>
      </c>
      <c r="C24" s="37">
        <f>-ROUND('[3]proyec gastos e ingresos'!$G$72/1000,0)</f>
        <v>-11</v>
      </c>
      <c r="D24" s="37">
        <f>-ROUND('[3]proyec gastos e ingresos'!$J$72/1000,0)</f>
        <v>-1258</v>
      </c>
    </row>
    <row r="25" spans="1:4" ht="35.25">
      <c r="A25" s="36" t="s">
        <v>44</v>
      </c>
      <c r="B25" s="36" t="s">
        <v>45</v>
      </c>
      <c r="C25" s="37">
        <f>-ROUND('[3]proyec gastos e ingresos'!$G$97/1000,0)</f>
        <v>0</v>
      </c>
      <c r="D25" s="37">
        <f>-ROUND('[3]proyec gastos e ingresos'!$J$97/1000,0)</f>
        <v>-137</v>
      </c>
    </row>
    <row r="26" spans="1:4" ht="24">
      <c r="A26" s="36" t="s">
        <v>46</v>
      </c>
      <c r="B26" s="36" t="s">
        <v>47</v>
      </c>
      <c r="C26" s="37">
        <f>-ROUND('[3]proyec gastos e ingresos'!$G$75/1000,0)</f>
        <v>-33</v>
      </c>
      <c r="D26" s="37">
        <f>-ROUND('[3]proyec gastos e ingresos'!$J$75/1000,0)</f>
        <v>-149</v>
      </c>
    </row>
    <row r="27" spans="1:4" ht="15">
      <c r="A27" s="36" t="s">
        <v>17</v>
      </c>
      <c r="B27" s="36" t="s">
        <v>48</v>
      </c>
      <c r="C27" s="38">
        <f>SUM(C28:C30)</f>
        <v>-724</v>
      </c>
      <c r="D27" s="38">
        <f>SUM(D28:D30)</f>
        <v>-2653</v>
      </c>
    </row>
    <row r="28" spans="1:4" ht="24">
      <c r="A28" s="36" t="s">
        <v>49</v>
      </c>
      <c r="B28" s="36" t="s">
        <v>50</v>
      </c>
      <c r="C28" s="37">
        <f>-ROUND('[3]proyec gastos e ingresos'!$G$84/1000,0)</f>
        <v>-228</v>
      </c>
      <c r="D28" s="37">
        <f>-ROUND('[3]proyec gastos e ingresos'!$J$84/1000,0)</f>
        <v>-894</v>
      </c>
    </row>
    <row r="29" spans="1:4" ht="24">
      <c r="A29" s="36" t="s">
        <v>51</v>
      </c>
      <c r="B29" s="36" t="s">
        <v>52</v>
      </c>
      <c r="C29" s="37">
        <f>-ROUND('[3]proyec gastos e ingresos'!$G$85/1000,0)</f>
        <v>-496</v>
      </c>
      <c r="D29" s="37">
        <f>-ROUND('[3]proyec gastos e ingresos'!$J$85/1000,0)</f>
        <v>-1759</v>
      </c>
    </row>
    <row r="30" spans="1:4" ht="24">
      <c r="A30" s="36" t="s">
        <v>53</v>
      </c>
      <c r="B30" s="36" t="s">
        <v>54</v>
      </c>
      <c r="C30" s="37"/>
      <c r="D30" s="37"/>
    </row>
    <row r="31" spans="1:4" ht="24">
      <c r="A31" s="36" t="s">
        <v>17</v>
      </c>
      <c r="B31" s="36" t="s">
        <v>55</v>
      </c>
      <c r="C31" s="37">
        <f>+ROUND('[3]proyec gastos e ingresos'!$G$134/1000,0)</f>
        <v>2</v>
      </c>
      <c r="D31" s="37">
        <f>+ROUND('[3]proyec gastos e ingresos'!$J$134/1000,0)</f>
        <v>1161</v>
      </c>
    </row>
    <row r="32" spans="1:4" ht="15">
      <c r="A32" s="36" t="s">
        <v>56</v>
      </c>
      <c r="B32" s="36" t="s">
        <v>57</v>
      </c>
      <c r="C32" s="37"/>
      <c r="D32" s="37"/>
    </row>
    <row r="33" spans="1:4" ht="24">
      <c r="A33" s="36" t="s">
        <v>17</v>
      </c>
      <c r="B33" s="36" t="s">
        <v>58</v>
      </c>
      <c r="C33" s="38">
        <f>C34+C38</f>
        <v>-6</v>
      </c>
      <c r="D33" s="38">
        <f>D34+D38</f>
        <v>-14</v>
      </c>
    </row>
    <row r="34" spans="1:4" ht="15">
      <c r="A34" s="36" t="s">
        <v>17</v>
      </c>
      <c r="B34" s="36" t="s">
        <v>59</v>
      </c>
      <c r="C34" s="38">
        <f>SUM(C35:C37)</f>
        <v>0</v>
      </c>
      <c r="D34" s="38">
        <f>SUM(D35:D37)</f>
        <v>0</v>
      </c>
    </row>
    <row r="35" spans="1:4" ht="15">
      <c r="A35" s="36" t="s">
        <v>60</v>
      </c>
      <c r="B35" s="36" t="s">
        <v>61</v>
      </c>
      <c r="C35" s="37"/>
      <c r="D35" s="37"/>
    </row>
    <row r="36" spans="1:4" ht="15">
      <c r="A36" s="36" t="s">
        <v>62</v>
      </c>
      <c r="B36" s="36" t="s">
        <v>63</v>
      </c>
      <c r="C36" s="37"/>
      <c r="D36" s="37"/>
    </row>
    <row r="37" spans="1:4" ht="24">
      <c r="A37" s="36" t="s">
        <v>64</v>
      </c>
      <c r="B37" s="36" t="s">
        <v>65</v>
      </c>
      <c r="C37" s="37"/>
      <c r="D37" s="37"/>
    </row>
    <row r="38" spans="1:4" ht="24">
      <c r="A38" s="36" t="s">
        <v>17</v>
      </c>
      <c r="B38" s="36" t="s">
        <v>66</v>
      </c>
      <c r="C38" s="38">
        <f>SUM(C39:C41)</f>
        <v>-6</v>
      </c>
      <c r="D38" s="38">
        <f>SUM(D39:D41)</f>
        <v>-14</v>
      </c>
    </row>
    <row r="39" spans="1:4" ht="15">
      <c r="A39" s="36" t="s">
        <v>67</v>
      </c>
      <c r="B39" s="36" t="s">
        <v>61</v>
      </c>
      <c r="C39" s="37"/>
      <c r="D39" s="37"/>
    </row>
    <row r="40" spans="1:4" ht="15">
      <c r="A40" s="36" t="s">
        <v>68</v>
      </c>
      <c r="B40" s="36" t="s">
        <v>63</v>
      </c>
      <c r="C40" s="37">
        <f>-ROUND('[3]proyec gastos e ingresos'!$G$86/1000,0)</f>
        <v>-6</v>
      </c>
      <c r="D40" s="37">
        <f>-ROUND('[3]proyec gastos e ingresos'!$J$86/1000,0)</f>
        <v>-14</v>
      </c>
    </row>
    <row r="41" spans="1:4" ht="24">
      <c r="A41" s="36" t="s">
        <v>69</v>
      </c>
      <c r="B41" s="36" t="s">
        <v>65</v>
      </c>
      <c r="C41" s="37"/>
      <c r="D41" s="37"/>
    </row>
    <row r="42" spans="1:4" ht="24">
      <c r="A42" s="36" t="s">
        <v>70</v>
      </c>
      <c r="B42" s="36" t="s">
        <v>71</v>
      </c>
      <c r="C42" s="37"/>
      <c r="D42" s="37"/>
    </row>
    <row r="43" spans="1:4" ht="15">
      <c r="A43" s="36" t="s">
        <v>70</v>
      </c>
      <c r="B43" s="36" t="s">
        <v>72</v>
      </c>
      <c r="C43" s="38">
        <f>C44+C45</f>
        <v>-9</v>
      </c>
      <c r="D43" s="38">
        <f>D44+D45</f>
        <v>104</v>
      </c>
    </row>
    <row r="44" spans="1:4" ht="15">
      <c r="A44" s="36" t="s">
        <v>73</v>
      </c>
      <c r="B44" s="36" t="s">
        <v>74</v>
      </c>
      <c r="C44" s="37">
        <f>-ROUND('[3]proyec gastos e ingresos'!$G$95/1000,0)</f>
        <v>-9</v>
      </c>
      <c r="D44" s="37">
        <f>-ROUND('[3]proyec gastos e ingresos'!$J$95/1000,0)</f>
        <v>-420</v>
      </c>
    </row>
    <row r="45" spans="1:4" ht="15">
      <c r="A45" s="36" t="s">
        <v>75</v>
      </c>
      <c r="B45" s="36" t="s">
        <v>76</v>
      </c>
      <c r="C45" s="37">
        <f>+ROUND('[3]proyec gastos e ingresos'!$G$137/1000,0)</f>
        <v>0</v>
      </c>
      <c r="D45" s="37">
        <f>+ROUND('[3]proyec gastos e ingresos'!$J$137/1000,0)</f>
        <v>524</v>
      </c>
    </row>
    <row r="46" spans="1:4" ht="46.5">
      <c r="A46" s="39" t="s">
        <v>17</v>
      </c>
      <c r="B46" s="39" t="s">
        <v>77</v>
      </c>
      <c r="C46" s="40">
        <f>C7+C10+C15+C18+C22+C27+C31+C32+C33+C43</f>
        <v>-32166</v>
      </c>
      <c r="D46" s="40">
        <f>D7+D10+D15+D18+D22+D27+D31+D32+D33+D43</f>
        <v>-132066</v>
      </c>
    </row>
    <row r="47" spans="1:4" ht="15">
      <c r="A47" s="36" t="s">
        <v>17</v>
      </c>
      <c r="B47" s="36" t="s">
        <v>78</v>
      </c>
      <c r="C47" s="38">
        <f>C48+C49</f>
        <v>0</v>
      </c>
      <c r="D47" s="38">
        <f>D48+D49</f>
        <v>6</v>
      </c>
    </row>
    <row r="48" spans="1:4" ht="24">
      <c r="A48" s="36" t="s">
        <v>79</v>
      </c>
      <c r="B48" s="36" t="s">
        <v>80</v>
      </c>
      <c r="C48" s="37"/>
      <c r="D48" s="37"/>
    </row>
    <row r="49" spans="1:4" ht="24">
      <c r="A49" s="36" t="s">
        <v>81</v>
      </c>
      <c r="B49" s="36" t="s">
        <v>82</v>
      </c>
      <c r="C49" s="37">
        <f>+ROUND('[3]proyec gastos e ingresos'!$G$129/1000,0)-ROUND('[3]proyec gastos e ingresos'!$G$131/1000,0)</f>
        <v>0</v>
      </c>
      <c r="D49" s="37">
        <f>+ROUND('[3]proyec gastos e ingresos'!$J$129/1000,0)-ROUND('[3]proyec gastos e ingresos'!$J$131/1000,0)</f>
        <v>6</v>
      </c>
    </row>
    <row r="50" spans="1:4" ht="15">
      <c r="A50" s="36" t="s">
        <v>17</v>
      </c>
      <c r="B50" s="36" t="s">
        <v>83</v>
      </c>
      <c r="C50" s="38">
        <f>SUM(C51:C53)</f>
        <v>-4</v>
      </c>
      <c r="D50" s="38">
        <f>SUM(D51:D53)</f>
        <v>-50</v>
      </c>
    </row>
    <row r="51" spans="1:4" ht="24">
      <c r="A51" s="36" t="s">
        <v>84</v>
      </c>
      <c r="B51" s="36" t="s">
        <v>85</v>
      </c>
      <c r="C51" s="37"/>
      <c r="D51" s="37"/>
    </row>
    <row r="52" spans="1:4" ht="27.75" customHeight="1">
      <c r="A52" s="36" t="s">
        <v>86</v>
      </c>
      <c r="B52" s="36" t="s">
        <v>87</v>
      </c>
      <c r="C52" s="37">
        <f>-ROUND('[3]proyec gastos e ingresos'!$G$89/1000,0)</f>
        <v>-4</v>
      </c>
      <c r="D52" s="37">
        <f>-ROUND('[3]proyec gastos e ingresos'!$J$89/1000,0)</f>
        <v>-50</v>
      </c>
    </row>
    <row r="53" spans="1:4" ht="24">
      <c r="A53" s="36" t="s">
        <v>88</v>
      </c>
      <c r="B53" s="36" t="s">
        <v>89</v>
      </c>
      <c r="C53" s="37"/>
      <c r="D53" s="37"/>
    </row>
    <row r="54" spans="1:4" ht="24">
      <c r="A54" s="36" t="s">
        <v>90</v>
      </c>
      <c r="B54" s="36" t="s">
        <v>91</v>
      </c>
      <c r="C54" s="37"/>
      <c r="D54" s="37"/>
    </row>
    <row r="55" spans="1:4" ht="15">
      <c r="A55" s="36" t="s">
        <v>92</v>
      </c>
      <c r="B55" s="36" t="s">
        <v>93</v>
      </c>
      <c r="C55" s="37">
        <f>-ROUND('[3]proyec gastos e ingresos'!$G$93/1000,0)+ROUND('[3]proyec gastos e ingresos'!$G$131/1000,0)</f>
        <v>0</v>
      </c>
      <c r="D55" s="37">
        <f>-ROUND('[3]proyec gastos e ingresos'!$J$93/1000,0)+ROUND('[3]proyec gastos e ingresos'!$J$131/1000,0)</f>
        <v>0</v>
      </c>
    </row>
    <row r="56" spans="1:4" ht="35.25">
      <c r="A56" s="36" t="s">
        <v>94</v>
      </c>
      <c r="B56" s="36" t="s">
        <v>95</v>
      </c>
      <c r="C56" s="37">
        <f>-ROUND('[3]proyec gastos e ingresos'!$G$96/1000,0)</f>
        <v>0</v>
      </c>
      <c r="D56" s="37">
        <f>-ROUND('[3]proyec gastos e ingresos'!$J$96/1000,0)</f>
        <v>0</v>
      </c>
    </row>
    <row r="57" spans="1:4" ht="24">
      <c r="A57" s="36" t="s">
        <v>17</v>
      </c>
      <c r="B57" s="36" t="s">
        <v>96</v>
      </c>
      <c r="C57" s="37"/>
      <c r="D57" s="37"/>
    </row>
    <row r="58" spans="1:4" ht="24">
      <c r="A58" s="39" t="s">
        <v>17</v>
      </c>
      <c r="B58" s="39" t="s">
        <v>97</v>
      </c>
      <c r="C58" s="40">
        <f>SUM(C47,C50,C54,C55,C56,C57)</f>
        <v>-4</v>
      </c>
      <c r="D58" s="40">
        <f>SUM(D47,D50,D54,D55,D56,D57)</f>
        <v>-44</v>
      </c>
    </row>
    <row r="59" spans="1:4" ht="24">
      <c r="A59" s="39" t="s">
        <v>17</v>
      </c>
      <c r="B59" s="39" t="s">
        <v>98</v>
      </c>
      <c r="C59" s="40">
        <f>C46+C58</f>
        <v>-32170</v>
      </c>
      <c r="D59" s="40">
        <f>D46+D58</f>
        <v>-132110</v>
      </c>
    </row>
    <row r="60" spans="1:4" ht="15">
      <c r="A60" s="36" t="s">
        <v>99</v>
      </c>
      <c r="B60" s="36" t="s">
        <v>100</v>
      </c>
      <c r="C60" s="37"/>
      <c r="D60" s="37"/>
    </row>
    <row r="61" spans="1:4" ht="46.5">
      <c r="A61" s="39" t="s">
        <v>17</v>
      </c>
      <c r="B61" s="39" t="s">
        <v>101</v>
      </c>
      <c r="C61" s="40">
        <f>SUM(C59:C60)</f>
        <v>-32170</v>
      </c>
      <c r="D61" s="40">
        <f>SUM(D59:D60)</f>
        <v>-132110</v>
      </c>
    </row>
    <row r="62" spans="1:4" ht="15">
      <c r="A62" s="33" t="s">
        <v>4</v>
      </c>
      <c r="B62" s="34" t="s">
        <v>102</v>
      </c>
      <c r="C62" s="35"/>
      <c r="D62" s="35"/>
    </row>
    <row r="63" spans="1:4" ht="35.25">
      <c r="A63" s="36" t="s">
        <v>17</v>
      </c>
      <c r="B63" s="36" t="s">
        <v>103</v>
      </c>
      <c r="C63" s="37"/>
      <c r="D63" s="37"/>
    </row>
    <row r="64" spans="1:4" ht="24">
      <c r="A64" s="36" t="s">
        <v>17</v>
      </c>
      <c r="B64" s="36" t="s">
        <v>104</v>
      </c>
      <c r="C64" s="40">
        <f>C61</f>
        <v>-32170</v>
      </c>
      <c r="D64" s="40">
        <f>D61</f>
        <v>-132110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4" sqref="A4:D64"/>
    </sheetView>
  </sheetViews>
  <sheetFormatPr defaultColWidth="11.421875" defaultRowHeight="15"/>
  <cols>
    <col min="1" max="1" width="47.57421875" style="0" bestFit="1" customWidth="1"/>
    <col min="2" max="2" width="66.7109375" style="0" bestFit="1" customWidth="1"/>
    <col min="3" max="4" width="19.00390625" style="0" bestFit="1" customWidth="1"/>
  </cols>
  <sheetData>
    <row r="1" spans="1:4" ht="39.75" customHeight="1" thickBot="1">
      <c r="A1" s="61" t="s">
        <v>105</v>
      </c>
      <c r="B1" s="62"/>
      <c r="C1" s="62"/>
      <c r="D1" s="63"/>
    </row>
    <row r="2" spans="1:4" ht="19.5" customHeight="1">
      <c r="A2" s="64" t="s">
        <v>4</v>
      </c>
      <c r="B2" s="64"/>
      <c r="C2" s="64"/>
      <c r="D2" s="64"/>
    </row>
    <row r="3" spans="1:4" ht="19.5" customHeight="1">
      <c r="A3" s="64" t="s">
        <v>4</v>
      </c>
      <c r="B3" s="64"/>
      <c r="C3" s="64"/>
      <c r="D3" s="64"/>
    </row>
    <row r="4" spans="1:4" ht="19.5" customHeight="1" thickBot="1">
      <c r="A4" s="60" t="s">
        <v>5</v>
      </c>
      <c r="B4" s="60"/>
      <c r="C4" s="60"/>
      <c r="D4" s="60"/>
    </row>
    <row r="5" spans="1:4" ht="15.75" thickBot="1">
      <c r="A5" s="32" t="s">
        <v>4</v>
      </c>
      <c r="B5" s="32" t="s">
        <v>133</v>
      </c>
      <c r="C5" s="32" t="s">
        <v>6</v>
      </c>
      <c r="D5" s="32" t="s">
        <v>7</v>
      </c>
    </row>
    <row r="6" spans="1:4" ht="15">
      <c r="A6" s="33"/>
      <c r="B6" s="34" t="s">
        <v>10</v>
      </c>
      <c r="C6" s="35" t="s">
        <v>4</v>
      </c>
      <c r="D6" s="35" t="s">
        <v>4</v>
      </c>
    </row>
    <row r="7" spans="1:4" ht="15">
      <c r="A7" s="36" t="s">
        <v>11</v>
      </c>
      <c r="B7" s="36" t="s">
        <v>12</v>
      </c>
      <c r="C7" s="37">
        <v>0</v>
      </c>
      <c r="D7" s="37">
        <v>0</v>
      </c>
    </row>
    <row r="8" spans="1:4" ht="24">
      <c r="A8" s="36" t="s">
        <v>13</v>
      </c>
      <c r="B8" s="36" t="s">
        <v>14</v>
      </c>
      <c r="C8" s="37">
        <v>0</v>
      </c>
      <c r="D8" s="37">
        <v>0</v>
      </c>
    </row>
    <row r="9" spans="1:4" ht="15">
      <c r="A9" s="36" t="s">
        <v>15</v>
      </c>
      <c r="B9" s="36" t="s">
        <v>16</v>
      </c>
      <c r="C9" s="37">
        <v>0</v>
      </c>
      <c r="D9" s="37">
        <v>0</v>
      </c>
    </row>
    <row r="10" spans="1:4" ht="15">
      <c r="A10" s="36"/>
      <c r="B10" s="36" t="s">
        <v>18</v>
      </c>
      <c r="C10" s="38">
        <f>+C11+C12+C13+C14</f>
        <v>0</v>
      </c>
      <c r="D10" s="38">
        <f>+D11+D12+D13+D14</f>
        <v>0</v>
      </c>
    </row>
    <row r="11" spans="1:4" ht="15">
      <c r="A11" s="36" t="s">
        <v>19</v>
      </c>
      <c r="B11" s="36" t="s">
        <v>134</v>
      </c>
      <c r="C11" s="37">
        <v>0</v>
      </c>
      <c r="D11" s="37">
        <v>0</v>
      </c>
    </row>
    <row r="12" spans="1:4" ht="24">
      <c r="A12" s="36" t="s">
        <v>21</v>
      </c>
      <c r="B12" s="36" t="s">
        <v>135</v>
      </c>
      <c r="C12" s="37">
        <v>0</v>
      </c>
      <c r="D12" s="37">
        <v>0</v>
      </c>
    </row>
    <row r="13" spans="1:4" ht="15">
      <c r="A13" s="36" t="s">
        <v>23</v>
      </c>
      <c r="B13" s="36" t="s">
        <v>136</v>
      </c>
      <c r="C13" s="37">
        <v>0</v>
      </c>
      <c r="D13" s="37">
        <v>0</v>
      </c>
    </row>
    <row r="14" spans="1:4" ht="24">
      <c r="A14" s="36" t="s">
        <v>25</v>
      </c>
      <c r="B14" s="36" t="s">
        <v>137</v>
      </c>
      <c r="C14" s="37">
        <v>0</v>
      </c>
      <c r="D14" s="37">
        <v>0</v>
      </c>
    </row>
    <row r="15" spans="1:4" ht="15">
      <c r="A15" s="36"/>
      <c r="B15" s="36" t="s">
        <v>27</v>
      </c>
      <c r="C15" s="38">
        <f>+C16+C17</f>
        <v>0</v>
      </c>
      <c r="D15" s="38">
        <f>+D16+D17</f>
        <v>0</v>
      </c>
    </row>
    <row r="16" spans="1:4" ht="15">
      <c r="A16" s="36" t="s">
        <v>28</v>
      </c>
      <c r="B16" s="36" t="s">
        <v>138</v>
      </c>
      <c r="C16" s="37">
        <v>0</v>
      </c>
      <c r="D16" s="37">
        <v>0</v>
      </c>
    </row>
    <row r="17" spans="1:4" ht="15">
      <c r="A17" s="36" t="s">
        <v>30</v>
      </c>
      <c r="B17" s="36" t="s">
        <v>139</v>
      </c>
      <c r="C17" s="37">
        <v>0</v>
      </c>
      <c r="D17" s="37">
        <v>0</v>
      </c>
    </row>
    <row r="18" spans="1:4" ht="15">
      <c r="A18" s="36"/>
      <c r="B18" s="36" t="s">
        <v>32</v>
      </c>
      <c r="C18" s="38">
        <f>+C19+C20+C21</f>
        <v>0</v>
      </c>
      <c r="D18" s="38">
        <f>+D19+D20+D21</f>
        <v>0</v>
      </c>
    </row>
    <row r="19" spans="1:4" ht="15">
      <c r="A19" s="36" t="s">
        <v>33</v>
      </c>
      <c r="B19" s="36" t="s">
        <v>140</v>
      </c>
      <c r="C19" s="37">
        <v>0</v>
      </c>
      <c r="D19" s="37">
        <v>0</v>
      </c>
    </row>
    <row r="20" spans="1:4" ht="15">
      <c r="A20" s="36" t="s">
        <v>35</v>
      </c>
      <c r="B20" s="36" t="s">
        <v>141</v>
      </c>
      <c r="C20" s="37">
        <v>0</v>
      </c>
      <c r="D20" s="37">
        <v>0</v>
      </c>
    </row>
    <row r="21" spans="1:4" ht="15">
      <c r="A21" s="36" t="s">
        <v>37</v>
      </c>
      <c r="B21" s="36" t="s">
        <v>142</v>
      </c>
      <c r="C21" s="37">
        <v>0</v>
      </c>
      <c r="D21" s="37">
        <v>0</v>
      </c>
    </row>
    <row r="22" spans="1:4" ht="15">
      <c r="A22" s="36"/>
      <c r="B22" s="36" t="s">
        <v>39</v>
      </c>
      <c r="C22" s="38">
        <f>+C23+C24+C25+C26</f>
        <v>-0.07</v>
      </c>
      <c r="D22" s="38">
        <f>+D23+D24+D25+D26</f>
        <v>-5</v>
      </c>
    </row>
    <row r="23" spans="1:4" ht="24">
      <c r="A23" s="36" t="s">
        <v>40</v>
      </c>
      <c r="B23" s="36" t="s">
        <v>143</v>
      </c>
      <c r="C23" s="37">
        <v>-0.07</v>
      </c>
      <c r="D23" s="37">
        <v>-5</v>
      </c>
    </row>
    <row r="24" spans="1:4" ht="15">
      <c r="A24" s="36" t="s">
        <v>42</v>
      </c>
      <c r="B24" s="36" t="s">
        <v>144</v>
      </c>
      <c r="C24" s="37">
        <v>0</v>
      </c>
      <c r="D24" s="37">
        <v>0</v>
      </c>
    </row>
    <row r="25" spans="1:4" ht="24">
      <c r="A25" s="36" t="s">
        <v>44</v>
      </c>
      <c r="B25" s="36" t="s">
        <v>145</v>
      </c>
      <c r="C25" s="37">
        <v>0</v>
      </c>
      <c r="D25" s="37">
        <v>0</v>
      </c>
    </row>
    <row r="26" spans="1:4" ht="15">
      <c r="A26" s="36" t="s">
        <v>46</v>
      </c>
      <c r="B26" s="36" t="s">
        <v>146</v>
      </c>
      <c r="C26" s="37">
        <v>0</v>
      </c>
      <c r="D26" s="37">
        <v>0</v>
      </c>
    </row>
    <row r="27" spans="1:4" ht="15">
      <c r="A27" s="36"/>
      <c r="B27" s="36" t="s">
        <v>48</v>
      </c>
      <c r="C27" s="38">
        <f>+C28+C29+C30</f>
        <v>0</v>
      </c>
      <c r="D27" s="38">
        <f>+D28+D29+D30</f>
        <v>0</v>
      </c>
    </row>
    <row r="28" spans="1:4" ht="15">
      <c r="A28" s="36" t="s">
        <v>49</v>
      </c>
      <c r="B28" s="36" t="s">
        <v>147</v>
      </c>
      <c r="C28" s="37">
        <v>0</v>
      </c>
      <c r="D28" s="37">
        <v>0</v>
      </c>
    </row>
    <row r="29" spans="1:4" ht="15">
      <c r="A29" s="36" t="s">
        <v>51</v>
      </c>
      <c r="B29" s="36" t="s">
        <v>148</v>
      </c>
      <c r="C29" s="37">
        <v>0</v>
      </c>
      <c r="D29" s="37">
        <v>0</v>
      </c>
    </row>
    <row r="30" spans="1:4" ht="15">
      <c r="A30" s="36" t="s">
        <v>53</v>
      </c>
      <c r="B30" s="36" t="s">
        <v>149</v>
      </c>
      <c r="C30" s="37">
        <v>0</v>
      </c>
      <c r="D30" s="37">
        <v>0</v>
      </c>
    </row>
    <row r="31" spans="1:4" ht="15">
      <c r="A31" s="36"/>
      <c r="B31" s="36" t="s">
        <v>55</v>
      </c>
      <c r="C31" s="37">
        <v>0</v>
      </c>
      <c r="D31" s="37">
        <v>0</v>
      </c>
    </row>
    <row r="32" spans="1:4" ht="15">
      <c r="A32" s="36" t="s">
        <v>56</v>
      </c>
      <c r="B32" s="36" t="s">
        <v>57</v>
      </c>
      <c r="C32" s="37">
        <v>0</v>
      </c>
      <c r="D32" s="37">
        <v>0</v>
      </c>
    </row>
    <row r="33" spans="1:4" ht="15">
      <c r="A33" s="36"/>
      <c r="B33" s="36" t="s">
        <v>58</v>
      </c>
      <c r="C33" s="38">
        <f>+C34+C38</f>
        <v>0</v>
      </c>
      <c r="D33" s="38">
        <f>+D34+D38</f>
        <v>0</v>
      </c>
    </row>
    <row r="34" spans="1:4" ht="15">
      <c r="A34" s="36"/>
      <c r="B34" s="36" t="s">
        <v>150</v>
      </c>
      <c r="C34" s="38">
        <f>+C35+C36+C37</f>
        <v>0</v>
      </c>
      <c r="D34" s="38">
        <f>+D35+D36+D37</f>
        <v>0</v>
      </c>
    </row>
    <row r="35" spans="1:4" ht="15">
      <c r="A35" s="36" t="s">
        <v>60</v>
      </c>
      <c r="B35" s="36" t="s">
        <v>151</v>
      </c>
      <c r="C35" s="37">
        <v>0</v>
      </c>
      <c r="D35" s="37">
        <v>0</v>
      </c>
    </row>
    <row r="36" spans="1:4" ht="15">
      <c r="A36" s="36" t="s">
        <v>62</v>
      </c>
      <c r="B36" s="36" t="s">
        <v>152</v>
      </c>
      <c r="C36" s="37">
        <v>0</v>
      </c>
      <c r="D36" s="37">
        <v>0</v>
      </c>
    </row>
    <row r="37" spans="1:4" ht="15">
      <c r="A37" s="36" t="s">
        <v>64</v>
      </c>
      <c r="B37" s="36" t="s">
        <v>153</v>
      </c>
      <c r="C37" s="37">
        <v>0</v>
      </c>
      <c r="D37" s="37">
        <v>0</v>
      </c>
    </row>
    <row r="38" spans="1:4" ht="15">
      <c r="A38" s="36"/>
      <c r="B38" s="36" t="s">
        <v>154</v>
      </c>
      <c r="C38" s="38">
        <f>+C39+C40+C41</f>
        <v>0</v>
      </c>
      <c r="D38" s="38">
        <f>+D39+D40+D41</f>
        <v>0</v>
      </c>
    </row>
    <row r="39" spans="1:4" ht="15">
      <c r="A39" s="36" t="s">
        <v>67</v>
      </c>
      <c r="B39" s="36" t="s">
        <v>151</v>
      </c>
      <c r="C39" s="37">
        <v>0</v>
      </c>
      <c r="D39" s="37">
        <v>0</v>
      </c>
    </row>
    <row r="40" spans="1:4" ht="15">
      <c r="A40" s="36" t="s">
        <v>68</v>
      </c>
      <c r="B40" s="36" t="s">
        <v>152</v>
      </c>
      <c r="C40" s="37">
        <v>0</v>
      </c>
      <c r="D40" s="37">
        <v>0</v>
      </c>
    </row>
    <row r="41" spans="1:4" ht="15">
      <c r="A41" s="36" t="s">
        <v>69</v>
      </c>
      <c r="B41" s="36" t="s">
        <v>153</v>
      </c>
      <c r="C41" s="37">
        <v>0</v>
      </c>
      <c r="D41" s="37">
        <v>0</v>
      </c>
    </row>
    <row r="42" spans="1:4" ht="15">
      <c r="A42" s="36" t="s">
        <v>155</v>
      </c>
      <c r="B42" s="36" t="s">
        <v>71</v>
      </c>
      <c r="C42" s="37">
        <v>0</v>
      </c>
      <c r="D42" s="37">
        <v>0</v>
      </c>
    </row>
    <row r="43" spans="1:4" ht="15">
      <c r="A43" s="36" t="s">
        <v>155</v>
      </c>
      <c r="B43" s="36" t="s">
        <v>72</v>
      </c>
      <c r="C43" s="38">
        <f>+C44+C45</f>
        <v>0</v>
      </c>
      <c r="D43" s="38">
        <f>+D44+D45</f>
        <v>0</v>
      </c>
    </row>
    <row r="44" spans="1:4" ht="15">
      <c r="A44" s="36" t="s">
        <v>73</v>
      </c>
      <c r="B44" s="36" t="s">
        <v>156</v>
      </c>
      <c r="C44" s="37">
        <v>0</v>
      </c>
      <c r="D44" s="37">
        <v>0</v>
      </c>
    </row>
    <row r="45" spans="1:4" ht="15">
      <c r="A45" s="36" t="s">
        <v>75</v>
      </c>
      <c r="B45" s="36" t="s">
        <v>157</v>
      </c>
      <c r="C45" s="37">
        <v>0</v>
      </c>
      <c r="D45" s="37">
        <v>0</v>
      </c>
    </row>
    <row r="46" spans="1:4" ht="24">
      <c r="A46" s="39"/>
      <c r="B46" s="39" t="s">
        <v>77</v>
      </c>
      <c r="C46" s="40">
        <f>+C7+C8+C9+C10+C15+C18+C22+C27+C31+C32+C33+C42+C43</f>
        <v>-0.07</v>
      </c>
      <c r="D46" s="40">
        <f>+D7+D8+D9+D10+D15+D18+D22+D27+D31+D32+D33+D42+D43</f>
        <v>-5</v>
      </c>
    </row>
    <row r="47" spans="1:4" ht="15">
      <c r="A47" s="36"/>
      <c r="B47" s="36" t="s">
        <v>78</v>
      </c>
      <c r="C47" s="38">
        <f>+C48+C49</f>
        <v>0</v>
      </c>
      <c r="D47" s="38">
        <f>+D48+D49</f>
        <v>0</v>
      </c>
    </row>
    <row r="48" spans="1:4" ht="15">
      <c r="A48" s="36" t="s">
        <v>79</v>
      </c>
      <c r="B48" s="36" t="s">
        <v>158</v>
      </c>
      <c r="C48" s="37">
        <v>0</v>
      </c>
      <c r="D48" s="37">
        <v>0</v>
      </c>
    </row>
    <row r="49" spans="1:4" ht="15">
      <c r="A49" s="36" t="s">
        <v>81</v>
      </c>
      <c r="B49" s="36" t="s">
        <v>159</v>
      </c>
      <c r="C49" s="37">
        <v>0</v>
      </c>
      <c r="D49" s="37">
        <v>0</v>
      </c>
    </row>
    <row r="50" spans="1:4" ht="15">
      <c r="A50" s="36"/>
      <c r="B50" s="36" t="s">
        <v>83</v>
      </c>
      <c r="C50" s="38">
        <f>+C51+C52+C53</f>
        <v>0</v>
      </c>
      <c r="D50" s="38">
        <f>+D51+D52+D53</f>
        <v>0</v>
      </c>
    </row>
    <row r="51" spans="1:4" ht="24">
      <c r="A51" s="36" t="s">
        <v>84</v>
      </c>
      <c r="B51" s="36" t="s">
        <v>160</v>
      </c>
      <c r="C51" s="37">
        <v>0</v>
      </c>
      <c r="D51" s="37">
        <v>0</v>
      </c>
    </row>
    <row r="52" spans="1:4" ht="35.25">
      <c r="A52" s="36" t="s">
        <v>86</v>
      </c>
      <c r="B52" s="36" t="s">
        <v>161</v>
      </c>
      <c r="C52" s="37">
        <v>0</v>
      </c>
      <c r="D52" s="37">
        <v>0</v>
      </c>
    </row>
    <row r="53" spans="1:4" ht="15">
      <c r="A53" s="36" t="s">
        <v>88</v>
      </c>
      <c r="B53" s="36" t="s">
        <v>162</v>
      </c>
      <c r="C53" s="37">
        <v>0</v>
      </c>
      <c r="D53" s="37">
        <v>0</v>
      </c>
    </row>
    <row r="54" spans="1:4" ht="15">
      <c r="A54" s="36" t="s">
        <v>90</v>
      </c>
      <c r="B54" s="36" t="s">
        <v>91</v>
      </c>
      <c r="C54" s="37">
        <v>0</v>
      </c>
      <c r="D54" s="37">
        <v>0</v>
      </c>
    </row>
    <row r="55" spans="1:4" ht="15">
      <c r="A55" s="36" t="s">
        <v>92</v>
      </c>
      <c r="B55" s="36" t="s">
        <v>93</v>
      </c>
      <c r="C55" s="37">
        <v>0</v>
      </c>
      <c r="D55" s="37">
        <v>0</v>
      </c>
    </row>
    <row r="56" spans="1:4" ht="24">
      <c r="A56" s="36" t="s">
        <v>94</v>
      </c>
      <c r="B56" s="36" t="s">
        <v>95</v>
      </c>
      <c r="C56" s="37">
        <v>0</v>
      </c>
      <c r="D56" s="37">
        <v>0</v>
      </c>
    </row>
    <row r="57" spans="1:4" ht="15">
      <c r="A57" s="36"/>
      <c r="B57" s="36" t="s">
        <v>96</v>
      </c>
      <c r="C57" s="37">
        <v>0</v>
      </c>
      <c r="D57" s="37">
        <v>0</v>
      </c>
    </row>
    <row r="58" spans="1:4" ht="15">
      <c r="A58" s="39"/>
      <c r="B58" s="39" t="s">
        <v>97</v>
      </c>
      <c r="C58" s="40">
        <f>+C47+C50+C54+C55+C56+C57</f>
        <v>0</v>
      </c>
      <c r="D58" s="40">
        <f>+D47+D50+D54+D55+D56+D57</f>
        <v>0</v>
      </c>
    </row>
    <row r="59" spans="1:4" ht="15">
      <c r="A59" s="39"/>
      <c r="B59" s="39" t="s">
        <v>98</v>
      </c>
      <c r="C59" s="40">
        <f>+C46+C58</f>
        <v>-0.07</v>
      </c>
      <c r="D59" s="40">
        <f>+D46+D58</f>
        <v>-5</v>
      </c>
    </row>
    <row r="60" spans="1:4" ht="15">
      <c r="A60" s="36" t="s">
        <v>99</v>
      </c>
      <c r="B60" s="36" t="s">
        <v>100</v>
      </c>
      <c r="C60" s="37">
        <v>0</v>
      </c>
      <c r="D60" s="37">
        <v>0</v>
      </c>
    </row>
    <row r="61" spans="1:4" ht="24">
      <c r="A61" s="39"/>
      <c r="B61" s="39" t="s">
        <v>101</v>
      </c>
      <c r="C61" s="40">
        <f>+C59+C60</f>
        <v>-0.07</v>
      </c>
      <c r="D61" s="40">
        <f>+D59+D60</f>
        <v>-5</v>
      </c>
    </row>
    <row r="62" spans="1:4" ht="15">
      <c r="A62" s="33"/>
      <c r="B62" s="34" t="s">
        <v>102</v>
      </c>
      <c r="C62" s="35" t="s">
        <v>4</v>
      </c>
      <c r="D62" s="35" t="s">
        <v>4</v>
      </c>
    </row>
    <row r="63" spans="1:4" ht="24">
      <c r="A63" s="36"/>
      <c r="B63" s="36" t="s">
        <v>103</v>
      </c>
      <c r="C63" s="37">
        <v>0</v>
      </c>
      <c r="D63" s="37">
        <v>0</v>
      </c>
    </row>
    <row r="64" spans="1:4" ht="15">
      <c r="A64" s="36"/>
      <c r="B64" s="36" t="s">
        <v>104</v>
      </c>
      <c r="C64" s="40">
        <f>+C61+C63</f>
        <v>-0.07</v>
      </c>
      <c r="D64" s="40">
        <f>+D61+D63</f>
        <v>-5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4" sqref="A4:D64"/>
    </sheetView>
  </sheetViews>
  <sheetFormatPr defaultColWidth="11.421875" defaultRowHeight="15"/>
  <cols>
    <col min="1" max="1" width="47.57421875" style="0" bestFit="1" customWidth="1"/>
    <col min="2" max="2" width="66.7109375" style="0" bestFit="1" customWidth="1"/>
    <col min="3" max="4" width="19.00390625" style="0" bestFit="1" customWidth="1"/>
  </cols>
  <sheetData>
    <row r="1" spans="1:4" ht="39.75" customHeight="1" thickBot="1">
      <c r="A1" s="61" t="s">
        <v>105</v>
      </c>
      <c r="B1" s="62"/>
      <c r="C1" s="62"/>
      <c r="D1" s="63"/>
    </row>
    <row r="2" spans="1:4" ht="19.5" customHeight="1">
      <c r="A2" s="64" t="s">
        <v>4</v>
      </c>
      <c r="B2" s="64"/>
      <c r="C2" s="64"/>
      <c r="D2" s="64"/>
    </row>
    <row r="3" spans="1:4" ht="19.5" customHeight="1">
      <c r="A3" s="64" t="s">
        <v>4</v>
      </c>
      <c r="B3" s="64"/>
      <c r="C3" s="64"/>
      <c r="D3" s="64"/>
    </row>
    <row r="4" spans="1:4" ht="19.5" customHeight="1" thickBot="1">
      <c r="A4" s="60" t="s">
        <v>5</v>
      </c>
      <c r="B4" s="60"/>
      <c r="C4" s="60"/>
      <c r="D4" s="60"/>
    </row>
    <row r="5" spans="1:4" ht="15.75" thickBot="1">
      <c r="A5" s="32" t="s">
        <v>4</v>
      </c>
      <c r="B5" s="32" t="s">
        <v>133</v>
      </c>
      <c r="C5" s="32" t="s">
        <v>6</v>
      </c>
      <c r="D5" s="32" t="s">
        <v>7</v>
      </c>
    </row>
    <row r="6" spans="1:4" ht="15">
      <c r="A6" s="33"/>
      <c r="B6" s="34" t="s">
        <v>10</v>
      </c>
      <c r="C6" s="35" t="s">
        <v>4</v>
      </c>
      <c r="D6" s="35" t="s">
        <v>4</v>
      </c>
    </row>
    <row r="7" spans="1:4" ht="15">
      <c r="A7" s="36" t="s">
        <v>11</v>
      </c>
      <c r="B7" s="36" t="s">
        <v>12</v>
      </c>
      <c r="C7" s="37">
        <v>51</v>
      </c>
      <c r="D7" s="37">
        <v>51</v>
      </c>
    </row>
    <row r="8" spans="1:4" ht="24">
      <c r="A8" s="36" t="s">
        <v>13</v>
      </c>
      <c r="B8" s="36" t="s">
        <v>14</v>
      </c>
      <c r="C8" s="37">
        <v>0</v>
      </c>
      <c r="D8" s="37">
        <v>0</v>
      </c>
    </row>
    <row r="9" spans="1:4" ht="15">
      <c r="A9" s="36" t="s">
        <v>15</v>
      </c>
      <c r="B9" s="36" t="s">
        <v>16</v>
      </c>
      <c r="C9" s="37">
        <v>0</v>
      </c>
      <c r="D9" s="37">
        <v>0</v>
      </c>
    </row>
    <row r="10" spans="1:4" ht="15">
      <c r="A10" s="36"/>
      <c r="B10" s="36" t="s">
        <v>18</v>
      </c>
      <c r="C10" s="38">
        <f>+C11+C12+C13+C14</f>
        <v>0</v>
      </c>
      <c r="D10" s="38">
        <f>+D11+D12+D13+D14</f>
        <v>0</v>
      </c>
    </row>
    <row r="11" spans="1:4" ht="15">
      <c r="A11" s="36" t="s">
        <v>19</v>
      </c>
      <c r="B11" s="36" t="s">
        <v>134</v>
      </c>
      <c r="C11" s="37">
        <v>0</v>
      </c>
      <c r="D11" s="37">
        <v>0</v>
      </c>
    </row>
    <row r="12" spans="1:4" ht="24">
      <c r="A12" s="36" t="s">
        <v>21</v>
      </c>
      <c r="B12" s="36" t="s">
        <v>135</v>
      </c>
      <c r="C12" s="37">
        <v>0</v>
      </c>
      <c r="D12" s="37">
        <v>0</v>
      </c>
    </row>
    <row r="13" spans="1:4" ht="15">
      <c r="A13" s="36" t="s">
        <v>23</v>
      </c>
      <c r="B13" s="36" t="s">
        <v>136</v>
      </c>
      <c r="C13" s="37">
        <v>0</v>
      </c>
      <c r="D13" s="37">
        <v>0</v>
      </c>
    </row>
    <row r="14" spans="1:4" ht="24">
      <c r="A14" s="36" t="s">
        <v>25</v>
      </c>
      <c r="B14" s="36" t="s">
        <v>137</v>
      </c>
      <c r="C14" s="37">
        <v>0</v>
      </c>
      <c r="D14" s="37">
        <v>0</v>
      </c>
    </row>
    <row r="15" spans="1:4" ht="15">
      <c r="A15" s="36"/>
      <c r="B15" s="36" t="s">
        <v>27</v>
      </c>
      <c r="C15" s="38">
        <f>+C16+C17</f>
        <v>0</v>
      </c>
      <c r="D15" s="38">
        <f>+D16+D17</f>
        <v>0</v>
      </c>
    </row>
    <row r="16" spans="1:4" ht="15">
      <c r="A16" s="36" t="s">
        <v>28</v>
      </c>
      <c r="B16" s="36" t="s">
        <v>138</v>
      </c>
      <c r="C16" s="37">
        <v>0</v>
      </c>
      <c r="D16" s="37">
        <v>0</v>
      </c>
    </row>
    <row r="17" spans="1:4" ht="15">
      <c r="A17" s="36" t="s">
        <v>30</v>
      </c>
      <c r="B17" s="36" t="s">
        <v>139</v>
      </c>
      <c r="C17" s="37">
        <v>0</v>
      </c>
      <c r="D17" s="37">
        <v>0</v>
      </c>
    </row>
    <row r="18" spans="1:4" ht="15">
      <c r="A18" s="36"/>
      <c r="B18" s="36" t="s">
        <v>32</v>
      </c>
      <c r="C18" s="38">
        <f>+C19+C20+C21</f>
        <v>-46</v>
      </c>
      <c r="D18" s="38">
        <f>+D19+D20+D21</f>
        <v>-31</v>
      </c>
    </row>
    <row r="19" spans="1:4" ht="15">
      <c r="A19" s="36" t="s">
        <v>33</v>
      </c>
      <c r="B19" s="36" t="s">
        <v>140</v>
      </c>
      <c r="C19" s="37">
        <v>-36</v>
      </c>
      <c r="D19" s="37">
        <v>-25</v>
      </c>
    </row>
    <row r="20" spans="1:4" ht="15">
      <c r="A20" s="36" t="s">
        <v>35</v>
      </c>
      <c r="B20" s="36" t="s">
        <v>141</v>
      </c>
      <c r="C20" s="37">
        <v>-10</v>
      </c>
      <c r="D20" s="37">
        <v>-6</v>
      </c>
    </row>
    <row r="21" spans="1:4" ht="15">
      <c r="A21" s="36" t="s">
        <v>37</v>
      </c>
      <c r="B21" s="36" t="s">
        <v>142</v>
      </c>
      <c r="C21" s="37">
        <v>0</v>
      </c>
      <c r="D21" s="37">
        <v>0</v>
      </c>
    </row>
    <row r="22" spans="1:4" ht="15">
      <c r="A22" s="36"/>
      <c r="B22" s="36" t="s">
        <v>39</v>
      </c>
      <c r="C22" s="38">
        <f>+C23+C24+C25+C26</f>
        <v>-130</v>
      </c>
      <c r="D22" s="38">
        <f>+D23+D24+D25+D26</f>
        <v>-90</v>
      </c>
    </row>
    <row r="23" spans="1:4" ht="24">
      <c r="A23" s="36" t="s">
        <v>40</v>
      </c>
      <c r="B23" s="36" t="s">
        <v>143</v>
      </c>
      <c r="C23" s="37">
        <v>-125</v>
      </c>
      <c r="D23" s="37">
        <v>-85</v>
      </c>
    </row>
    <row r="24" spans="1:4" ht="15">
      <c r="A24" s="36" t="s">
        <v>42</v>
      </c>
      <c r="B24" s="36" t="s">
        <v>144</v>
      </c>
      <c r="C24" s="37">
        <v>-5</v>
      </c>
      <c r="D24" s="37">
        <v>-5</v>
      </c>
    </row>
    <row r="25" spans="1:4" ht="24">
      <c r="A25" s="36" t="s">
        <v>44</v>
      </c>
      <c r="B25" s="36" t="s">
        <v>145</v>
      </c>
      <c r="C25" s="37">
        <v>0</v>
      </c>
      <c r="D25" s="37">
        <v>0</v>
      </c>
    </row>
    <row r="26" spans="1:4" ht="15">
      <c r="A26" s="36" t="s">
        <v>46</v>
      </c>
      <c r="B26" s="36" t="s">
        <v>146</v>
      </c>
      <c r="C26" s="37">
        <v>0</v>
      </c>
      <c r="D26" s="37">
        <v>0</v>
      </c>
    </row>
    <row r="27" spans="1:4" ht="15">
      <c r="A27" s="36"/>
      <c r="B27" s="36" t="s">
        <v>48</v>
      </c>
      <c r="C27" s="38">
        <f>+C28+C29+C30</f>
        <v>-1</v>
      </c>
      <c r="D27" s="38">
        <f>+D28+D29+D30</f>
        <v>-1</v>
      </c>
    </row>
    <row r="28" spans="1:4" ht="15">
      <c r="A28" s="36" t="s">
        <v>49</v>
      </c>
      <c r="B28" s="36" t="s">
        <v>147</v>
      </c>
      <c r="C28" s="37">
        <v>0</v>
      </c>
      <c r="D28" s="37">
        <v>0</v>
      </c>
    </row>
    <row r="29" spans="1:4" ht="15">
      <c r="A29" s="36" t="s">
        <v>51</v>
      </c>
      <c r="B29" s="36" t="s">
        <v>148</v>
      </c>
      <c r="C29" s="37">
        <v>-1</v>
      </c>
      <c r="D29" s="37">
        <v>-1</v>
      </c>
    </row>
    <row r="30" spans="1:4" ht="15">
      <c r="A30" s="36" t="s">
        <v>53</v>
      </c>
      <c r="B30" s="36" t="s">
        <v>149</v>
      </c>
      <c r="C30" s="37">
        <v>0</v>
      </c>
      <c r="D30" s="37">
        <v>0</v>
      </c>
    </row>
    <row r="31" spans="1:4" ht="15">
      <c r="A31" s="36"/>
      <c r="B31" s="36" t="s">
        <v>55</v>
      </c>
      <c r="C31" s="37">
        <v>0</v>
      </c>
      <c r="D31" s="37">
        <v>0</v>
      </c>
    </row>
    <row r="32" spans="1:4" ht="15">
      <c r="A32" s="36" t="s">
        <v>56</v>
      </c>
      <c r="B32" s="36" t="s">
        <v>57</v>
      </c>
      <c r="C32" s="37">
        <v>0</v>
      </c>
      <c r="D32" s="37">
        <v>0</v>
      </c>
    </row>
    <row r="33" spans="1:4" ht="15">
      <c r="A33" s="36"/>
      <c r="B33" s="36" t="s">
        <v>58</v>
      </c>
      <c r="C33" s="38">
        <f>+C34+C38</f>
        <v>0</v>
      </c>
      <c r="D33" s="38">
        <f>+D34+D38</f>
        <v>0</v>
      </c>
    </row>
    <row r="34" spans="1:4" ht="15">
      <c r="A34" s="36"/>
      <c r="B34" s="36" t="s">
        <v>150</v>
      </c>
      <c r="C34" s="38">
        <f>+C35+C36+C37</f>
        <v>0</v>
      </c>
      <c r="D34" s="38">
        <f>+D35+D36+D37</f>
        <v>0</v>
      </c>
    </row>
    <row r="35" spans="1:4" ht="15">
      <c r="A35" s="36" t="s">
        <v>60</v>
      </c>
      <c r="B35" s="36" t="s">
        <v>151</v>
      </c>
      <c r="C35" s="37">
        <v>0</v>
      </c>
      <c r="D35" s="37">
        <v>0</v>
      </c>
    </row>
    <row r="36" spans="1:4" ht="15">
      <c r="A36" s="36" t="s">
        <v>62</v>
      </c>
      <c r="B36" s="36" t="s">
        <v>152</v>
      </c>
      <c r="C36" s="37">
        <v>0</v>
      </c>
      <c r="D36" s="37">
        <v>0</v>
      </c>
    </row>
    <row r="37" spans="1:4" ht="15">
      <c r="A37" s="36" t="s">
        <v>64</v>
      </c>
      <c r="B37" s="36" t="s">
        <v>153</v>
      </c>
      <c r="C37" s="37">
        <v>0</v>
      </c>
      <c r="D37" s="37">
        <v>0</v>
      </c>
    </row>
    <row r="38" spans="1:4" ht="15">
      <c r="A38" s="36"/>
      <c r="B38" s="36" t="s">
        <v>154</v>
      </c>
      <c r="C38" s="38">
        <f>+C39+C40+C41</f>
        <v>0</v>
      </c>
      <c r="D38" s="38">
        <f>+D39+D40+D41</f>
        <v>0</v>
      </c>
    </row>
    <row r="39" spans="1:4" ht="15">
      <c r="A39" s="36" t="s">
        <v>67</v>
      </c>
      <c r="B39" s="36" t="s">
        <v>151</v>
      </c>
      <c r="C39" s="37">
        <v>0</v>
      </c>
      <c r="D39" s="37">
        <v>0</v>
      </c>
    </row>
    <row r="40" spans="1:4" ht="15">
      <c r="A40" s="36" t="s">
        <v>68</v>
      </c>
      <c r="B40" s="36" t="s">
        <v>152</v>
      </c>
      <c r="C40" s="37">
        <v>0</v>
      </c>
      <c r="D40" s="37">
        <v>0</v>
      </c>
    </row>
    <row r="41" spans="1:4" ht="15">
      <c r="A41" s="36" t="s">
        <v>69</v>
      </c>
      <c r="B41" s="36" t="s">
        <v>153</v>
      </c>
      <c r="C41" s="37">
        <v>0</v>
      </c>
      <c r="D41" s="37">
        <v>0</v>
      </c>
    </row>
    <row r="42" spans="1:4" ht="15">
      <c r="A42" s="36" t="s">
        <v>155</v>
      </c>
      <c r="B42" s="36" t="s">
        <v>71</v>
      </c>
      <c r="C42" s="37">
        <v>0</v>
      </c>
      <c r="D42" s="37">
        <v>0</v>
      </c>
    </row>
    <row r="43" spans="1:4" ht="15">
      <c r="A43" s="36" t="s">
        <v>155</v>
      </c>
      <c r="B43" s="36" t="s">
        <v>72</v>
      </c>
      <c r="C43" s="38">
        <f>+C44+C45</f>
        <v>0</v>
      </c>
      <c r="D43" s="38">
        <f>+D44+D45</f>
        <v>0</v>
      </c>
    </row>
    <row r="44" spans="1:4" ht="15">
      <c r="A44" s="36" t="s">
        <v>73</v>
      </c>
      <c r="B44" s="36" t="s">
        <v>156</v>
      </c>
      <c r="C44" s="37">
        <v>0</v>
      </c>
      <c r="D44" s="37">
        <v>0</v>
      </c>
    </row>
    <row r="45" spans="1:4" ht="15">
      <c r="A45" s="36" t="s">
        <v>75</v>
      </c>
      <c r="B45" s="36" t="s">
        <v>157</v>
      </c>
      <c r="C45" s="37">
        <v>0</v>
      </c>
      <c r="D45" s="37">
        <v>0</v>
      </c>
    </row>
    <row r="46" spans="1:4" ht="24">
      <c r="A46" s="39"/>
      <c r="B46" s="39" t="s">
        <v>77</v>
      </c>
      <c r="C46" s="40">
        <f>+C7+C8+C9+C10+C15+C18+C22+C27+C31+C32+C33+C42+C43</f>
        <v>-126</v>
      </c>
      <c r="D46" s="40">
        <f>+D7+D8+D9+D10+D15+D18+D22+D27+D31+D32+D33+D42+D43</f>
        <v>-71</v>
      </c>
    </row>
    <row r="47" spans="1:4" ht="15">
      <c r="A47" s="36"/>
      <c r="B47" s="36" t="s">
        <v>78</v>
      </c>
      <c r="C47" s="38">
        <f>+C48+C49</f>
        <v>0</v>
      </c>
      <c r="D47" s="38">
        <f>+D48+D49</f>
        <v>0</v>
      </c>
    </row>
    <row r="48" spans="1:4" ht="15">
      <c r="A48" s="36" t="s">
        <v>79</v>
      </c>
      <c r="B48" s="36" t="s">
        <v>158</v>
      </c>
      <c r="C48" s="37">
        <v>0</v>
      </c>
      <c r="D48" s="37">
        <v>0</v>
      </c>
    </row>
    <row r="49" spans="1:4" ht="15">
      <c r="A49" s="36" t="s">
        <v>81</v>
      </c>
      <c r="B49" s="36" t="s">
        <v>159</v>
      </c>
      <c r="C49" s="37">
        <v>0</v>
      </c>
      <c r="D49" s="37">
        <v>0</v>
      </c>
    </row>
    <row r="50" spans="1:4" ht="15">
      <c r="A50" s="36"/>
      <c r="B50" s="36" t="s">
        <v>83</v>
      </c>
      <c r="C50" s="38">
        <f>+C51+C52+C53</f>
        <v>-2</v>
      </c>
      <c r="D50" s="38">
        <f>+D51+D52+D53</f>
        <v>-1</v>
      </c>
    </row>
    <row r="51" spans="1:4" ht="24">
      <c r="A51" s="36" t="s">
        <v>84</v>
      </c>
      <c r="B51" s="36" t="s">
        <v>160</v>
      </c>
      <c r="C51" s="37">
        <v>0</v>
      </c>
      <c r="D51" s="37">
        <v>0</v>
      </c>
    </row>
    <row r="52" spans="1:4" ht="35.25">
      <c r="A52" s="36" t="s">
        <v>86</v>
      </c>
      <c r="B52" s="36" t="s">
        <v>161</v>
      </c>
      <c r="C52" s="37">
        <v>-2</v>
      </c>
      <c r="D52" s="37">
        <v>-1</v>
      </c>
    </row>
    <row r="53" spans="1:4" ht="15">
      <c r="A53" s="36" t="s">
        <v>88</v>
      </c>
      <c r="B53" s="36" t="s">
        <v>162</v>
      </c>
      <c r="C53" s="37">
        <v>0</v>
      </c>
      <c r="D53" s="37">
        <v>0</v>
      </c>
    </row>
    <row r="54" spans="1:4" ht="15">
      <c r="A54" s="36" t="s">
        <v>90</v>
      </c>
      <c r="B54" s="36" t="s">
        <v>91</v>
      </c>
      <c r="C54" s="37">
        <v>0</v>
      </c>
      <c r="D54" s="37">
        <v>0</v>
      </c>
    </row>
    <row r="55" spans="1:4" ht="15">
      <c r="A55" s="36" t="s">
        <v>92</v>
      </c>
      <c r="B55" s="36" t="s">
        <v>93</v>
      </c>
      <c r="C55" s="37">
        <v>0</v>
      </c>
      <c r="D55" s="37">
        <v>0</v>
      </c>
    </row>
    <row r="56" spans="1:4" ht="24">
      <c r="A56" s="36" t="s">
        <v>94</v>
      </c>
      <c r="B56" s="36" t="s">
        <v>95</v>
      </c>
      <c r="C56" s="37">
        <v>0</v>
      </c>
      <c r="D56" s="37">
        <v>0</v>
      </c>
    </row>
    <row r="57" spans="1:4" ht="15">
      <c r="A57" s="36"/>
      <c r="B57" s="36" t="s">
        <v>96</v>
      </c>
      <c r="C57" s="37">
        <v>0</v>
      </c>
      <c r="D57" s="37">
        <v>0</v>
      </c>
    </row>
    <row r="58" spans="1:4" ht="15">
      <c r="A58" s="39"/>
      <c r="B58" s="39" t="s">
        <v>97</v>
      </c>
      <c r="C58" s="40">
        <f>+C47+C50+C54+C55+C56+C57</f>
        <v>-2</v>
      </c>
      <c r="D58" s="40">
        <f>+D47+D50+D54+D55+D56+D57</f>
        <v>-1</v>
      </c>
    </row>
    <row r="59" spans="1:4" ht="15">
      <c r="A59" s="39"/>
      <c r="B59" s="39" t="s">
        <v>98</v>
      </c>
      <c r="C59" s="40">
        <f>+C46+C58</f>
        <v>-128</v>
      </c>
      <c r="D59" s="40">
        <f>+D46+D58</f>
        <v>-72</v>
      </c>
    </row>
    <row r="60" spans="1:4" ht="15">
      <c r="A60" s="36" t="s">
        <v>99</v>
      </c>
      <c r="B60" s="36" t="s">
        <v>100</v>
      </c>
      <c r="C60" s="37">
        <v>0</v>
      </c>
      <c r="D60" s="37">
        <v>0</v>
      </c>
    </row>
    <row r="61" spans="1:4" ht="24">
      <c r="A61" s="39"/>
      <c r="B61" s="39" t="s">
        <v>101</v>
      </c>
      <c r="C61" s="40">
        <f>+C59+C60</f>
        <v>-128</v>
      </c>
      <c r="D61" s="40">
        <f>+D59+D60</f>
        <v>-72</v>
      </c>
    </row>
    <row r="62" spans="1:4" ht="15">
      <c r="A62" s="33"/>
      <c r="B62" s="34" t="s">
        <v>102</v>
      </c>
      <c r="C62" s="35" t="s">
        <v>4</v>
      </c>
      <c r="D62" s="35" t="s">
        <v>4</v>
      </c>
    </row>
    <row r="63" spans="1:4" ht="24">
      <c r="A63" s="36"/>
      <c r="B63" s="36" t="s">
        <v>103</v>
      </c>
      <c r="C63" s="37">
        <v>0</v>
      </c>
      <c r="D63" s="37">
        <v>0</v>
      </c>
    </row>
    <row r="64" spans="1:4" ht="15">
      <c r="A64" s="36"/>
      <c r="B64" s="36" t="s">
        <v>104</v>
      </c>
      <c r="C64" s="40">
        <f>+C61+C63</f>
        <v>-128</v>
      </c>
      <c r="D64" s="40">
        <f>+D61+D63</f>
        <v>-72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4" sqref="A4:D64"/>
    </sheetView>
  </sheetViews>
  <sheetFormatPr defaultColWidth="11.421875" defaultRowHeight="15"/>
  <cols>
    <col min="1" max="1" width="47.57421875" style="0" bestFit="1" customWidth="1"/>
    <col min="2" max="2" width="66.7109375" style="0" bestFit="1" customWidth="1"/>
    <col min="3" max="4" width="19.00390625" style="0" bestFit="1" customWidth="1"/>
  </cols>
  <sheetData>
    <row r="1" spans="1:4" ht="39.75" customHeight="1" thickBot="1">
      <c r="A1" s="61" t="s">
        <v>105</v>
      </c>
      <c r="B1" s="62"/>
      <c r="C1" s="62"/>
      <c r="D1" s="63"/>
    </row>
    <row r="2" spans="1:4" ht="19.5" customHeight="1">
      <c r="A2" s="64" t="s">
        <v>4</v>
      </c>
      <c r="B2" s="64"/>
      <c r="C2" s="64"/>
      <c r="D2" s="64"/>
    </row>
    <row r="3" spans="1:4" ht="19.5" customHeight="1">
      <c r="A3" s="64" t="s">
        <v>4</v>
      </c>
      <c r="B3" s="64"/>
      <c r="C3" s="64"/>
      <c r="D3" s="64"/>
    </row>
    <row r="4" spans="1:4" ht="19.5" customHeight="1" thickBot="1">
      <c r="A4" s="60" t="s">
        <v>5</v>
      </c>
      <c r="B4" s="60"/>
      <c r="C4" s="60"/>
      <c r="D4" s="60"/>
    </row>
    <row r="5" spans="1:4" ht="15.75" thickBot="1">
      <c r="A5" s="32" t="s">
        <v>4</v>
      </c>
      <c r="B5" s="32" t="s">
        <v>133</v>
      </c>
      <c r="C5" s="32" t="s">
        <v>6</v>
      </c>
      <c r="D5" s="32" t="s">
        <v>7</v>
      </c>
    </row>
    <row r="6" spans="1:4" ht="15">
      <c r="A6" s="33"/>
      <c r="B6" s="34" t="s">
        <v>10</v>
      </c>
      <c r="C6" s="35" t="s">
        <v>4</v>
      </c>
      <c r="D6" s="35" t="s">
        <v>4</v>
      </c>
    </row>
    <row r="7" spans="1:4" ht="15">
      <c r="A7" s="36" t="s">
        <v>11</v>
      </c>
      <c r="B7" s="36" t="s">
        <v>12</v>
      </c>
      <c r="C7" s="37">
        <v>1056</v>
      </c>
      <c r="D7" s="37">
        <v>574</v>
      </c>
    </row>
    <row r="8" spans="1:4" ht="24">
      <c r="A8" s="36" t="s">
        <v>13</v>
      </c>
      <c r="B8" s="36" t="s">
        <v>14</v>
      </c>
      <c r="C8" s="37">
        <v>-438</v>
      </c>
      <c r="D8" s="37">
        <v>136</v>
      </c>
    </row>
    <row r="9" spans="1:4" ht="15">
      <c r="A9" s="36" t="s">
        <v>15</v>
      </c>
      <c r="B9" s="36" t="s">
        <v>16</v>
      </c>
      <c r="C9" s="37">
        <v>0</v>
      </c>
      <c r="D9" s="37">
        <v>0</v>
      </c>
    </row>
    <row r="10" spans="1:4" ht="15">
      <c r="A10" s="36"/>
      <c r="B10" s="36" t="s">
        <v>18</v>
      </c>
      <c r="C10" s="38">
        <f>+C11+C12+C13+C14</f>
        <v>-74</v>
      </c>
      <c r="D10" s="38">
        <f>+D11+D12+D13+D14</f>
        <v>-2863</v>
      </c>
    </row>
    <row r="11" spans="1:4" ht="15">
      <c r="A11" s="36" t="s">
        <v>19</v>
      </c>
      <c r="B11" s="36" t="s">
        <v>134</v>
      </c>
      <c r="C11" s="37">
        <v>-37</v>
      </c>
      <c r="D11" s="37">
        <v>229</v>
      </c>
    </row>
    <row r="12" spans="1:4" ht="24">
      <c r="A12" s="36" t="s">
        <v>21</v>
      </c>
      <c r="B12" s="36" t="s">
        <v>135</v>
      </c>
      <c r="C12" s="37">
        <v>0</v>
      </c>
      <c r="D12" s="37">
        <v>0</v>
      </c>
    </row>
    <row r="13" spans="1:4" ht="15">
      <c r="A13" s="36" t="s">
        <v>23</v>
      </c>
      <c r="B13" s="36" t="s">
        <v>136</v>
      </c>
      <c r="C13" s="37">
        <v>-37</v>
      </c>
      <c r="D13" s="37">
        <v>-1093</v>
      </c>
    </row>
    <row r="14" spans="1:4" ht="24">
      <c r="A14" s="36" t="s">
        <v>25</v>
      </c>
      <c r="B14" s="36" t="s">
        <v>137</v>
      </c>
      <c r="C14" s="37">
        <v>0</v>
      </c>
      <c r="D14" s="37">
        <v>-1999</v>
      </c>
    </row>
    <row r="15" spans="1:4" ht="15">
      <c r="A15" s="36"/>
      <c r="B15" s="36" t="s">
        <v>27</v>
      </c>
      <c r="C15" s="38">
        <f>+C16+C17</f>
        <v>5</v>
      </c>
      <c r="D15" s="38">
        <f>+D16+D17</f>
        <v>2447</v>
      </c>
    </row>
    <row r="16" spans="1:4" ht="15">
      <c r="A16" s="36" t="s">
        <v>28</v>
      </c>
      <c r="B16" s="36" t="s">
        <v>138</v>
      </c>
      <c r="C16" s="37">
        <v>5</v>
      </c>
      <c r="D16" s="37">
        <v>2447</v>
      </c>
    </row>
    <row r="17" spans="1:4" ht="15">
      <c r="A17" s="36" t="s">
        <v>30</v>
      </c>
      <c r="B17" s="36" t="s">
        <v>139</v>
      </c>
      <c r="C17" s="37">
        <v>0</v>
      </c>
      <c r="D17" s="37">
        <v>0</v>
      </c>
    </row>
    <row r="18" spans="1:4" ht="15">
      <c r="A18" s="36"/>
      <c r="B18" s="36" t="s">
        <v>32</v>
      </c>
      <c r="C18" s="38">
        <f>+C19+C20+C21</f>
        <v>-1031</v>
      </c>
      <c r="D18" s="38">
        <f>+D19+D20+D21</f>
        <v>-4519</v>
      </c>
    </row>
    <row r="19" spans="1:4" ht="15">
      <c r="A19" s="36" t="s">
        <v>33</v>
      </c>
      <c r="B19" s="36" t="s">
        <v>140</v>
      </c>
      <c r="C19" s="37">
        <v>-798</v>
      </c>
      <c r="D19" s="37">
        <v>-3633</v>
      </c>
    </row>
    <row r="20" spans="1:4" ht="15">
      <c r="A20" s="36" t="s">
        <v>35</v>
      </c>
      <c r="B20" s="36" t="s">
        <v>141</v>
      </c>
      <c r="C20" s="37">
        <v>-233</v>
      </c>
      <c r="D20" s="37">
        <v>-886</v>
      </c>
    </row>
    <row r="21" spans="1:4" ht="15">
      <c r="A21" s="36" t="s">
        <v>37</v>
      </c>
      <c r="B21" s="36" t="s">
        <v>142</v>
      </c>
      <c r="C21" s="37">
        <v>0</v>
      </c>
      <c r="D21" s="37">
        <v>0</v>
      </c>
    </row>
    <row r="22" spans="1:4" ht="15">
      <c r="A22" s="36"/>
      <c r="B22" s="36" t="s">
        <v>39</v>
      </c>
      <c r="C22" s="38">
        <f>+C23+C24+C25+C26</f>
        <v>-391</v>
      </c>
      <c r="D22" s="38">
        <f>+D23+D24+D25+D26</f>
        <v>-47115</v>
      </c>
    </row>
    <row r="23" spans="1:4" ht="24">
      <c r="A23" s="36" t="s">
        <v>40</v>
      </c>
      <c r="B23" s="36" t="s">
        <v>143</v>
      </c>
      <c r="C23" s="37">
        <v>-391</v>
      </c>
      <c r="D23" s="37">
        <v>-1204</v>
      </c>
    </row>
    <row r="24" spans="1:4" ht="15">
      <c r="A24" s="36" t="s">
        <v>42</v>
      </c>
      <c r="B24" s="36" t="s">
        <v>144</v>
      </c>
      <c r="C24" s="37">
        <v>0</v>
      </c>
      <c r="D24" s="37">
        <v>-18</v>
      </c>
    </row>
    <row r="25" spans="1:4" ht="24">
      <c r="A25" s="36" t="s">
        <v>44</v>
      </c>
      <c r="B25" s="36" t="s">
        <v>145</v>
      </c>
      <c r="C25" s="37">
        <v>0</v>
      </c>
      <c r="D25" s="37">
        <v>-45824</v>
      </c>
    </row>
    <row r="26" spans="1:4" ht="15">
      <c r="A26" s="36" t="s">
        <v>46</v>
      </c>
      <c r="B26" s="36" t="s">
        <v>146</v>
      </c>
      <c r="C26" s="37">
        <v>0</v>
      </c>
      <c r="D26" s="37">
        <v>-69</v>
      </c>
    </row>
    <row r="27" spans="1:4" ht="15">
      <c r="A27" s="36"/>
      <c r="B27" s="36" t="s">
        <v>48</v>
      </c>
      <c r="C27" s="38">
        <f>+C28+C29+C30</f>
        <v>-44</v>
      </c>
      <c r="D27" s="38">
        <f>+D28+D29+D30</f>
        <v>-177</v>
      </c>
    </row>
    <row r="28" spans="1:4" ht="15">
      <c r="A28" s="36" t="s">
        <v>49</v>
      </c>
      <c r="B28" s="36" t="s">
        <v>147</v>
      </c>
      <c r="C28" s="37">
        <v>-14</v>
      </c>
      <c r="D28" s="37">
        <v>-53</v>
      </c>
    </row>
    <row r="29" spans="1:4" ht="15">
      <c r="A29" s="36" t="s">
        <v>51</v>
      </c>
      <c r="B29" s="36" t="s">
        <v>148</v>
      </c>
      <c r="C29" s="37">
        <v>-30</v>
      </c>
      <c r="D29" s="37">
        <v>-124</v>
      </c>
    </row>
    <row r="30" spans="1:4" ht="15">
      <c r="A30" s="36" t="s">
        <v>53</v>
      </c>
      <c r="B30" s="36" t="s">
        <v>149</v>
      </c>
      <c r="C30" s="37">
        <v>0</v>
      </c>
      <c r="D30" s="37">
        <v>0</v>
      </c>
    </row>
    <row r="31" spans="1:4" ht="15">
      <c r="A31" s="36"/>
      <c r="B31" s="36" t="s">
        <v>55</v>
      </c>
      <c r="C31" s="37">
        <v>0</v>
      </c>
      <c r="D31" s="37">
        <v>0</v>
      </c>
    </row>
    <row r="32" spans="1:4" ht="15">
      <c r="A32" s="36" t="s">
        <v>56</v>
      </c>
      <c r="B32" s="36" t="s">
        <v>57</v>
      </c>
      <c r="C32" s="37">
        <v>0</v>
      </c>
      <c r="D32" s="37">
        <v>628</v>
      </c>
    </row>
    <row r="33" spans="1:4" ht="15">
      <c r="A33" s="36"/>
      <c r="B33" s="36" t="s">
        <v>58</v>
      </c>
      <c r="C33" s="38">
        <f>+C34+C38</f>
        <v>0</v>
      </c>
      <c r="D33" s="38">
        <f>+D34+D38</f>
        <v>0</v>
      </c>
    </row>
    <row r="34" spans="1:4" ht="15">
      <c r="A34" s="36"/>
      <c r="B34" s="36" t="s">
        <v>150</v>
      </c>
      <c r="C34" s="38">
        <f>+C35+C36+C37</f>
        <v>0</v>
      </c>
      <c r="D34" s="38">
        <f>+D35+D36+D37</f>
        <v>0</v>
      </c>
    </row>
    <row r="35" spans="1:4" ht="15">
      <c r="A35" s="36" t="s">
        <v>60</v>
      </c>
      <c r="B35" s="36" t="s">
        <v>151</v>
      </c>
      <c r="C35" s="37">
        <v>0</v>
      </c>
      <c r="D35" s="37">
        <v>0</v>
      </c>
    </row>
    <row r="36" spans="1:4" ht="15">
      <c r="A36" s="36" t="s">
        <v>62</v>
      </c>
      <c r="B36" s="36" t="s">
        <v>152</v>
      </c>
      <c r="C36" s="37">
        <v>0</v>
      </c>
      <c r="D36" s="37">
        <v>0</v>
      </c>
    </row>
    <row r="37" spans="1:4" ht="15">
      <c r="A37" s="36" t="s">
        <v>64</v>
      </c>
      <c r="B37" s="36" t="s">
        <v>153</v>
      </c>
      <c r="C37" s="37">
        <v>0</v>
      </c>
      <c r="D37" s="37">
        <v>0</v>
      </c>
    </row>
    <row r="38" spans="1:4" ht="15">
      <c r="A38" s="36"/>
      <c r="B38" s="36" t="s">
        <v>154</v>
      </c>
      <c r="C38" s="38">
        <f>+C39+C40+C41</f>
        <v>0</v>
      </c>
      <c r="D38" s="38">
        <f>+D39+D40+D41</f>
        <v>0</v>
      </c>
    </row>
    <row r="39" spans="1:4" ht="15">
      <c r="A39" s="36" t="s">
        <v>67</v>
      </c>
      <c r="B39" s="36" t="s">
        <v>151</v>
      </c>
      <c r="C39" s="37">
        <v>0</v>
      </c>
      <c r="D39" s="37">
        <v>0</v>
      </c>
    </row>
    <row r="40" spans="1:4" ht="15">
      <c r="A40" s="36" t="s">
        <v>68</v>
      </c>
      <c r="B40" s="36" t="s">
        <v>152</v>
      </c>
      <c r="C40" s="37">
        <v>0</v>
      </c>
      <c r="D40" s="37">
        <v>0</v>
      </c>
    </row>
    <row r="41" spans="1:4" ht="15">
      <c r="A41" s="36" t="s">
        <v>69</v>
      </c>
      <c r="B41" s="36" t="s">
        <v>153</v>
      </c>
      <c r="C41" s="37">
        <v>0</v>
      </c>
      <c r="D41" s="37">
        <v>0</v>
      </c>
    </row>
    <row r="42" spans="1:4" ht="15">
      <c r="A42" s="36" t="s">
        <v>155</v>
      </c>
      <c r="B42" s="36" t="s">
        <v>71</v>
      </c>
      <c r="C42" s="37">
        <v>0</v>
      </c>
      <c r="D42" s="37">
        <v>0</v>
      </c>
    </row>
    <row r="43" spans="1:4" ht="15">
      <c r="A43" s="36" t="s">
        <v>155</v>
      </c>
      <c r="B43" s="36" t="s">
        <v>72</v>
      </c>
      <c r="C43" s="38">
        <f>+C44+C45</f>
        <v>0</v>
      </c>
      <c r="D43" s="38">
        <f>+D44+D45</f>
        <v>0</v>
      </c>
    </row>
    <row r="44" spans="1:4" ht="15">
      <c r="A44" s="36" t="s">
        <v>73</v>
      </c>
      <c r="B44" s="36" t="s">
        <v>156</v>
      </c>
      <c r="C44" s="37">
        <v>0</v>
      </c>
      <c r="D44" s="37">
        <v>0</v>
      </c>
    </row>
    <row r="45" spans="1:4" ht="15">
      <c r="A45" s="36" t="s">
        <v>75</v>
      </c>
      <c r="B45" s="36" t="s">
        <v>157</v>
      </c>
      <c r="C45" s="37">
        <v>0</v>
      </c>
      <c r="D45" s="37">
        <v>0</v>
      </c>
    </row>
    <row r="46" spans="1:4" ht="24">
      <c r="A46" s="39"/>
      <c r="B46" s="39" t="s">
        <v>77</v>
      </c>
      <c r="C46" s="40">
        <f>+C7+C8+C9+C10+C15+C18+C22+C27+C31+C32+C33+C42+C43</f>
        <v>-917</v>
      </c>
      <c r="D46" s="40">
        <f>+D7+D8+D9+D10+D15+D18+D22+D27+D31+D32+D33+D42+D43</f>
        <v>-50889</v>
      </c>
    </row>
    <row r="47" spans="1:4" ht="15">
      <c r="A47" s="36"/>
      <c r="B47" s="36" t="s">
        <v>78</v>
      </c>
      <c r="C47" s="38">
        <f>+C48+C49</f>
        <v>1</v>
      </c>
      <c r="D47" s="38">
        <f>+D48+D49</f>
        <v>41</v>
      </c>
    </row>
    <row r="48" spans="1:4" ht="15">
      <c r="A48" s="36" t="s">
        <v>79</v>
      </c>
      <c r="B48" s="36" t="s">
        <v>158</v>
      </c>
      <c r="C48" s="37">
        <v>0</v>
      </c>
      <c r="D48" s="37">
        <v>0</v>
      </c>
    </row>
    <row r="49" spans="1:4" ht="15">
      <c r="A49" s="36" t="s">
        <v>81</v>
      </c>
      <c r="B49" s="36" t="s">
        <v>159</v>
      </c>
      <c r="C49" s="37">
        <v>1</v>
      </c>
      <c r="D49" s="37">
        <v>41</v>
      </c>
    </row>
    <row r="50" spans="1:4" ht="15">
      <c r="A50" s="36"/>
      <c r="B50" s="36" t="s">
        <v>83</v>
      </c>
      <c r="C50" s="38">
        <f>+C51+C52+C53</f>
        <v>-60</v>
      </c>
      <c r="D50" s="38">
        <f>+D51+D52+D53</f>
        <v>-76</v>
      </c>
    </row>
    <row r="51" spans="1:4" ht="24">
      <c r="A51" s="36" t="s">
        <v>84</v>
      </c>
      <c r="B51" s="36" t="s">
        <v>160</v>
      </c>
      <c r="C51" s="37">
        <v>0</v>
      </c>
      <c r="D51" s="37">
        <v>0</v>
      </c>
    </row>
    <row r="52" spans="1:4" ht="35.25">
      <c r="A52" s="36" t="s">
        <v>86</v>
      </c>
      <c r="B52" s="36" t="s">
        <v>161</v>
      </c>
      <c r="C52" s="37">
        <v>-60</v>
      </c>
      <c r="D52" s="37">
        <v>-76</v>
      </c>
    </row>
    <row r="53" spans="1:4" ht="15">
      <c r="A53" s="36" t="s">
        <v>88</v>
      </c>
      <c r="B53" s="36" t="s">
        <v>162</v>
      </c>
      <c r="C53" s="37">
        <v>0</v>
      </c>
      <c r="D53" s="37">
        <v>0</v>
      </c>
    </row>
    <row r="54" spans="1:4" ht="15">
      <c r="A54" s="36" t="s">
        <v>90</v>
      </c>
      <c r="B54" s="36" t="s">
        <v>91</v>
      </c>
      <c r="C54" s="37">
        <v>0</v>
      </c>
      <c r="D54" s="37">
        <v>0</v>
      </c>
    </row>
    <row r="55" spans="1:4" ht="15">
      <c r="A55" s="36" t="s">
        <v>92</v>
      </c>
      <c r="B55" s="36" t="s">
        <v>93</v>
      </c>
      <c r="C55" s="37">
        <v>0</v>
      </c>
      <c r="D55" s="37">
        <v>0</v>
      </c>
    </row>
    <row r="56" spans="1:4" ht="24">
      <c r="A56" s="36" t="s">
        <v>94</v>
      </c>
      <c r="B56" s="36" t="s">
        <v>95</v>
      </c>
      <c r="C56" s="37">
        <v>0</v>
      </c>
      <c r="D56" s="37">
        <v>0</v>
      </c>
    </row>
    <row r="57" spans="1:4" ht="15">
      <c r="A57" s="36"/>
      <c r="B57" s="36" t="s">
        <v>96</v>
      </c>
      <c r="C57" s="37">
        <v>0</v>
      </c>
      <c r="D57" s="37">
        <v>0</v>
      </c>
    </row>
    <row r="58" spans="1:4" ht="15">
      <c r="A58" s="39"/>
      <c r="B58" s="39" t="s">
        <v>97</v>
      </c>
      <c r="C58" s="40">
        <f>+C47+C50+C54+C55+C56+C57</f>
        <v>-59</v>
      </c>
      <c r="D58" s="40">
        <f>+D47+D50+D54+D55+D56+D57</f>
        <v>-35</v>
      </c>
    </row>
    <row r="59" spans="1:4" ht="15">
      <c r="A59" s="39"/>
      <c r="B59" s="39" t="s">
        <v>98</v>
      </c>
      <c r="C59" s="40">
        <f>+C46+C58</f>
        <v>-976</v>
      </c>
      <c r="D59" s="40">
        <f>+D46+D58</f>
        <v>-50924</v>
      </c>
    </row>
    <row r="60" spans="1:4" ht="15">
      <c r="A60" s="36" t="s">
        <v>99</v>
      </c>
      <c r="B60" s="36" t="s">
        <v>100</v>
      </c>
      <c r="C60" s="37">
        <v>0</v>
      </c>
      <c r="D60" s="37">
        <v>0</v>
      </c>
    </row>
    <row r="61" spans="1:4" ht="24">
      <c r="A61" s="39"/>
      <c r="B61" s="39" t="s">
        <v>101</v>
      </c>
      <c r="C61" s="40">
        <f>+C59+C60</f>
        <v>-976</v>
      </c>
      <c r="D61" s="40">
        <f>+D59+D60</f>
        <v>-50924</v>
      </c>
    </row>
    <row r="62" spans="1:4" ht="15">
      <c r="A62" s="33"/>
      <c r="B62" s="34" t="s">
        <v>102</v>
      </c>
      <c r="C62" s="35" t="s">
        <v>4</v>
      </c>
      <c r="D62" s="35" t="s">
        <v>4</v>
      </c>
    </row>
    <row r="63" spans="1:4" ht="24">
      <c r="A63" s="36"/>
      <c r="B63" s="36" t="s">
        <v>103</v>
      </c>
      <c r="C63" s="37">
        <v>0</v>
      </c>
      <c r="D63" s="37">
        <v>0</v>
      </c>
    </row>
    <row r="64" spans="1:4" ht="15">
      <c r="A64" s="36"/>
      <c r="B64" s="36" t="s">
        <v>104</v>
      </c>
      <c r="C64" s="40">
        <f>+C61+C63</f>
        <v>-976</v>
      </c>
      <c r="D64" s="40">
        <f>+D61+D63</f>
        <v>-50924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4" sqref="A4:D64"/>
    </sheetView>
  </sheetViews>
  <sheetFormatPr defaultColWidth="11.421875" defaultRowHeight="15"/>
  <cols>
    <col min="1" max="1" width="18.7109375" style="0" customWidth="1"/>
    <col min="2" max="2" width="56.8515625" style="0" customWidth="1"/>
    <col min="3" max="4" width="19.00390625" style="0" bestFit="1" customWidth="1"/>
  </cols>
  <sheetData>
    <row r="1" spans="1:4" ht="39.75" customHeight="1" thickBot="1">
      <c r="A1" s="61" t="s">
        <v>105</v>
      </c>
      <c r="B1" s="62"/>
      <c r="C1" s="62"/>
      <c r="D1" s="63"/>
    </row>
    <row r="2" spans="1:4" ht="19.5" customHeight="1">
      <c r="A2" s="64" t="s">
        <v>4</v>
      </c>
      <c r="B2" s="64"/>
      <c r="C2" s="64"/>
      <c r="D2" s="64"/>
    </row>
    <row r="3" spans="1:4" ht="19.5" customHeight="1">
      <c r="A3" s="64" t="s">
        <v>4</v>
      </c>
      <c r="B3" s="64"/>
      <c r="C3" s="64"/>
      <c r="D3" s="64"/>
    </row>
    <row r="4" spans="1:4" ht="19.5" customHeight="1" thickBot="1">
      <c r="A4" s="51" t="s">
        <v>5</v>
      </c>
      <c r="B4" s="51"/>
      <c r="C4" s="51"/>
      <c r="D4" s="51"/>
    </row>
    <row r="5" spans="1:4" ht="12.75" customHeight="1" thickBot="1">
      <c r="A5" s="15"/>
      <c r="B5" s="15" t="s">
        <v>8</v>
      </c>
      <c r="C5" s="15" t="s">
        <v>6</v>
      </c>
      <c r="D5" s="15" t="s">
        <v>7</v>
      </c>
    </row>
    <row r="6" spans="1:4" ht="12.75" customHeight="1" thickBot="1">
      <c r="A6" s="15"/>
      <c r="B6" s="15" t="s">
        <v>10</v>
      </c>
      <c r="C6" s="15"/>
      <c r="D6" s="15"/>
    </row>
    <row r="7" spans="1:4" ht="12.75" customHeight="1" thickBot="1">
      <c r="A7" s="13" t="s">
        <v>11</v>
      </c>
      <c r="B7" s="13" t="s">
        <v>12</v>
      </c>
      <c r="C7" s="14">
        <v>2033</v>
      </c>
      <c r="D7" s="14">
        <v>8798</v>
      </c>
    </row>
    <row r="8" spans="1:4" ht="22.5" customHeight="1" thickBot="1">
      <c r="A8" s="13" t="s">
        <v>13</v>
      </c>
      <c r="B8" s="13" t="s">
        <v>14</v>
      </c>
      <c r="C8" s="14">
        <v>0</v>
      </c>
      <c r="D8" s="14">
        <v>0</v>
      </c>
    </row>
    <row r="9" spans="1:4" ht="12.75" customHeight="1" thickBot="1">
      <c r="A9" s="13" t="s">
        <v>15</v>
      </c>
      <c r="B9" s="13" t="s">
        <v>16</v>
      </c>
      <c r="C9" s="14">
        <v>0</v>
      </c>
      <c r="D9" s="14">
        <v>0</v>
      </c>
    </row>
    <row r="10" spans="1:4" ht="12.75" customHeight="1" thickBot="1">
      <c r="A10" s="13" t="s">
        <v>17</v>
      </c>
      <c r="B10" s="13" t="s">
        <v>18</v>
      </c>
      <c r="C10" s="14">
        <v>-1868</v>
      </c>
      <c r="D10" s="14">
        <v>-9301</v>
      </c>
    </row>
    <row r="11" spans="1:4" ht="12.75" customHeight="1" thickBot="1">
      <c r="A11" s="13" t="s">
        <v>19</v>
      </c>
      <c r="B11" s="13" t="s">
        <v>20</v>
      </c>
      <c r="C11" s="14">
        <v>-1854</v>
      </c>
      <c r="D11" s="14">
        <v>-9193</v>
      </c>
    </row>
    <row r="12" spans="1:4" ht="12.75" customHeight="1" thickBot="1">
      <c r="A12" s="13" t="s">
        <v>21</v>
      </c>
      <c r="B12" s="13" t="s">
        <v>22</v>
      </c>
      <c r="C12" s="14">
        <v>0</v>
      </c>
      <c r="D12" s="14">
        <v>-35</v>
      </c>
    </row>
    <row r="13" spans="1:4" ht="12.75" customHeight="1" thickBot="1">
      <c r="A13" s="13" t="s">
        <v>23</v>
      </c>
      <c r="B13" s="13" t="s">
        <v>24</v>
      </c>
      <c r="C13" s="14">
        <v>-14</v>
      </c>
      <c r="D13" s="14">
        <v>-73</v>
      </c>
    </row>
    <row r="14" spans="1:4" ht="12.75" customHeight="1" thickBot="1">
      <c r="A14" s="13" t="s">
        <v>25</v>
      </c>
      <c r="B14" s="13" t="s">
        <v>26</v>
      </c>
      <c r="C14" s="14">
        <v>0</v>
      </c>
      <c r="D14" s="14">
        <v>0</v>
      </c>
    </row>
    <row r="15" spans="1:4" ht="12.75" customHeight="1" thickBot="1">
      <c r="A15" s="13" t="s">
        <v>17</v>
      </c>
      <c r="B15" s="13" t="s">
        <v>27</v>
      </c>
      <c r="C15" s="14">
        <v>17060</v>
      </c>
      <c r="D15" s="14">
        <v>68657</v>
      </c>
    </row>
    <row r="16" spans="1:4" ht="12.75" customHeight="1" thickBot="1">
      <c r="A16" s="13" t="s">
        <v>28</v>
      </c>
      <c r="B16" s="13" t="s">
        <v>29</v>
      </c>
      <c r="C16" s="14">
        <v>71</v>
      </c>
      <c r="D16" s="14">
        <v>703</v>
      </c>
    </row>
    <row r="17" spans="1:4" ht="12.75" customHeight="1" thickBot="1">
      <c r="A17" s="13" t="s">
        <v>30</v>
      </c>
      <c r="B17" s="13" t="s">
        <v>31</v>
      </c>
      <c r="C17" s="14">
        <v>16989</v>
      </c>
      <c r="D17" s="14">
        <v>67954</v>
      </c>
    </row>
    <row r="18" spans="1:4" ht="12.75" customHeight="1" thickBot="1">
      <c r="A18" s="13" t="s">
        <v>17</v>
      </c>
      <c r="B18" s="13" t="s">
        <v>32</v>
      </c>
      <c r="C18" s="14">
        <v>-5580</v>
      </c>
      <c r="D18" s="14">
        <v>-20781</v>
      </c>
    </row>
    <row r="19" spans="1:4" ht="12.75" customHeight="1" thickBot="1">
      <c r="A19" s="13" t="s">
        <v>33</v>
      </c>
      <c r="B19" s="13" t="s">
        <v>34</v>
      </c>
      <c r="C19" s="14">
        <v>-4452</v>
      </c>
      <c r="D19" s="14">
        <v>-16194</v>
      </c>
    </row>
    <row r="20" spans="1:4" ht="12.75" customHeight="1" thickBot="1">
      <c r="A20" s="13" t="s">
        <v>35</v>
      </c>
      <c r="B20" s="13" t="s">
        <v>36</v>
      </c>
      <c r="C20" s="14">
        <v>-1128</v>
      </c>
      <c r="D20" s="14">
        <v>-4587</v>
      </c>
    </row>
    <row r="21" spans="1:4" ht="12.75" customHeight="1" thickBot="1">
      <c r="A21" s="13" t="s">
        <v>37</v>
      </c>
      <c r="B21" s="13" t="s">
        <v>38</v>
      </c>
      <c r="C21" s="14">
        <v>0</v>
      </c>
      <c r="D21" s="14">
        <v>0</v>
      </c>
    </row>
    <row r="22" spans="1:4" ht="12.75" customHeight="1" thickBot="1">
      <c r="A22" s="13" t="s">
        <v>17</v>
      </c>
      <c r="B22" s="13" t="s">
        <v>39</v>
      </c>
      <c r="C22" s="14">
        <v>-8618</v>
      </c>
      <c r="D22" s="14">
        <v>-36045</v>
      </c>
    </row>
    <row r="23" spans="1:4" ht="12.75" customHeight="1" thickBot="1">
      <c r="A23" s="13" t="s">
        <v>40</v>
      </c>
      <c r="B23" s="13" t="s">
        <v>41</v>
      </c>
      <c r="C23" s="14">
        <v>-8581</v>
      </c>
      <c r="D23" s="14">
        <v>-35722</v>
      </c>
    </row>
    <row r="24" spans="1:4" ht="12.75" customHeight="1" thickBot="1">
      <c r="A24" s="13" t="s">
        <v>42</v>
      </c>
      <c r="B24" s="13" t="s">
        <v>43</v>
      </c>
      <c r="C24" s="14">
        <v>-37</v>
      </c>
      <c r="D24" s="14">
        <v>-323</v>
      </c>
    </row>
    <row r="25" spans="1:4" ht="12.75" customHeight="1" thickBot="1">
      <c r="A25" s="13" t="s">
        <v>44</v>
      </c>
      <c r="B25" s="13" t="s">
        <v>45</v>
      </c>
      <c r="C25" s="14">
        <v>0</v>
      </c>
      <c r="D25" s="14">
        <v>0</v>
      </c>
    </row>
    <row r="26" spans="1:4" ht="12.75" customHeight="1" thickBot="1">
      <c r="A26" s="13" t="s">
        <v>46</v>
      </c>
      <c r="B26" s="13" t="s">
        <v>47</v>
      </c>
      <c r="C26" s="14">
        <v>0</v>
      </c>
      <c r="D26" s="14">
        <v>0</v>
      </c>
    </row>
    <row r="27" spans="1:4" ht="12.75" customHeight="1" thickBot="1">
      <c r="A27" s="13" t="s">
        <v>17</v>
      </c>
      <c r="B27" s="13" t="s">
        <v>48</v>
      </c>
      <c r="C27" s="14">
        <v>-614</v>
      </c>
      <c r="D27" s="14">
        <v>-2756</v>
      </c>
    </row>
    <row r="28" spans="1:4" ht="12.75" customHeight="1" thickBot="1">
      <c r="A28" s="13" t="s">
        <v>49</v>
      </c>
      <c r="B28" s="13" t="s">
        <v>50</v>
      </c>
      <c r="C28" s="14">
        <v>-100</v>
      </c>
      <c r="D28" s="14">
        <v>-467</v>
      </c>
    </row>
    <row r="29" spans="1:4" ht="12.75" customHeight="1" thickBot="1">
      <c r="A29" s="13" t="s">
        <v>51</v>
      </c>
      <c r="B29" s="13" t="s">
        <v>52</v>
      </c>
      <c r="C29" s="14">
        <v>-514</v>
      </c>
      <c r="D29" s="14">
        <v>-2289</v>
      </c>
    </row>
    <row r="30" spans="1:4" ht="12.75" customHeight="1" thickBot="1">
      <c r="A30" s="13" t="s">
        <v>53</v>
      </c>
      <c r="B30" s="13" t="s">
        <v>54</v>
      </c>
      <c r="C30" s="14">
        <v>0</v>
      </c>
      <c r="D30" s="14">
        <v>0</v>
      </c>
    </row>
    <row r="31" spans="1:4" ht="12.75" customHeight="1" thickBot="1">
      <c r="A31" s="13" t="s">
        <v>17</v>
      </c>
      <c r="B31" s="13" t="s">
        <v>55</v>
      </c>
      <c r="C31" s="14">
        <v>0</v>
      </c>
      <c r="D31" s="14">
        <v>0</v>
      </c>
    </row>
    <row r="32" spans="1:4" ht="12.75" customHeight="1" thickBot="1">
      <c r="A32" s="13" t="s">
        <v>56</v>
      </c>
      <c r="B32" s="13" t="s">
        <v>57</v>
      </c>
      <c r="C32" s="14">
        <v>0</v>
      </c>
      <c r="D32" s="14">
        <v>0</v>
      </c>
    </row>
    <row r="33" spans="1:4" ht="12.75" customHeight="1" thickBot="1">
      <c r="A33" s="13" t="s">
        <v>17</v>
      </c>
      <c r="B33" s="13" t="s">
        <v>58</v>
      </c>
      <c r="C33" s="14">
        <v>0</v>
      </c>
      <c r="D33" s="14">
        <v>0</v>
      </c>
    </row>
    <row r="34" spans="1:4" ht="12.75" customHeight="1" thickBot="1">
      <c r="A34" s="13" t="s">
        <v>17</v>
      </c>
      <c r="B34" s="13" t="s">
        <v>59</v>
      </c>
      <c r="C34" s="14">
        <v>0</v>
      </c>
      <c r="D34" s="14">
        <v>0</v>
      </c>
    </row>
    <row r="35" spans="1:4" ht="12.75" customHeight="1" thickBot="1">
      <c r="A35" s="13" t="s">
        <v>60</v>
      </c>
      <c r="B35" s="13" t="s">
        <v>61</v>
      </c>
      <c r="C35" s="14">
        <v>0</v>
      </c>
      <c r="D35" s="14">
        <v>0</v>
      </c>
    </row>
    <row r="36" spans="1:4" ht="12.75" customHeight="1" thickBot="1">
      <c r="A36" s="13" t="s">
        <v>62</v>
      </c>
      <c r="B36" s="13" t="s">
        <v>63</v>
      </c>
      <c r="C36" s="14">
        <v>0</v>
      </c>
      <c r="D36" s="14">
        <v>0</v>
      </c>
    </row>
    <row r="37" spans="1:4" ht="12.75" customHeight="1" thickBot="1">
      <c r="A37" s="13" t="s">
        <v>64</v>
      </c>
      <c r="B37" s="13" t="s">
        <v>65</v>
      </c>
      <c r="C37" s="14">
        <v>0</v>
      </c>
      <c r="D37" s="14">
        <v>0</v>
      </c>
    </row>
    <row r="38" spans="1:4" ht="12.75" customHeight="1" thickBot="1">
      <c r="A38" s="13" t="s">
        <v>17</v>
      </c>
      <c r="B38" s="13" t="s">
        <v>66</v>
      </c>
      <c r="C38" s="14">
        <v>0</v>
      </c>
      <c r="D38" s="14">
        <v>0</v>
      </c>
    </row>
    <row r="39" spans="1:4" ht="12.75" customHeight="1" thickBot="1">
      <c r="A39" s="13" t="s">
        <v>67</v>
      </c>
      <c r="B39" s="13" t="s">
        <v>61</v>
      </c>
      <c r="C39" s="14">
        <v>0</v>
      </c>
      <c r="D39" s="14">
        <v>0</v>
      </c>
    </row>
    <row r="40" spans="1:4" ht="12.75" customHeight="1" thickBot="1">
      <c r="A40" s="13" t="s">
        <v>68</v>
      </c>
      <c r="B40" s="13" t="s">
        <v>63</v>
      </c>
      <c r="C40" s="14">
        <v>0</v>
      </c>
      <c r="D40" s="14">
        <v>0</v>
      </c>
    </row>
    <row r="41" spans="1:4" ht="12.75" customHeight="1" thickBot="1">
      <c r="A41" s="13" t="s">
        <v>69</v>
      </c>
      <c r="B41" s="13" t="s">
        <v>65</v>
      </c>
      <c r="C41" s="14">
        <v>0</v>
      </c>
      <c r="D41" s="14">
        <v>0</v>
      </c>
    </row>
    <row r="42" spans="1:4" ht="12.75" customHeight="1" thickBot="1">
      <c r="A42" s="13" t="s">
        <v>70</v>
      </c>
      <c r="B42" s="13" t="s">
        <v>71</v>
      </c>
      <c r="C42" s="14">
        <v>0</v>
      </c>
      <c r="D42" s="14">
        <v>0</v>
      </c>
    </row>
    <row r="43" spans="1:4" ht="12.75" customHeight="1" thickBot="1">
      <c r="A43" s="13" t="s">
        <v>70</v>
      </c>
      <c r="B43" s="13" t="s">
        <v>72</v>
      </c>
      <c r="C43" s="14">
        <v>0</v>
      </c>
      <c r="D43" s="14">
        <v>0</v>
      </c>
    </row>
    <row r="44" spans="1:4" ht="12.75" customHeight="1" thickBot="1">
      <c r="A44" s="13" t="s">
        <v>73</v>
      </c>
      <c r="B44" s="13" t="s">
        <v>74</v>
      </c>
      <c r="C44" s="14">
        <v>0</v>
      </c>
      <c r="D44" s="14">
        <v>0</v>
      </c>
    </row>
    <row r="45" spans="1:4" ht="12.75" customHeight="1" thickBot="1">
      <c r="A45" s="13" t="s">
        <v>75</v>
      </c>
      <c r="B45" s="13" t="s">
        <v>76</v>
      </c>
      <c r="C45" s="14">
        <v>0</v>
      </c>
      <c r="D45" s="14">
        <v>0</v>
      </c>
    </row>
    <row r="46" spans="1:4" ht="12.75" customHeight="1" thickBot="1">
      <c r="A46" s="11" t="s">
        <v>17</v>
      </c>
      <c r="B46" s="11" t="s">
        <v>77</v>
      </c>
      <c r="C46" s="12">
        <v>2413</v>
      </c>
      <c r="D46" s="12">
        <v>8572</v>
      </c>
    </row>
    <row r="47" spans="1:4" ht="12.75" customHeight="1" thickBot="1">
      <c r="A47" s="13" t="s">
        <v>17</v>
      </c>
      <c r="B47" s="13" t="s">
        <v>78</v>
      </c>
      <c r="C47" s="14">
        <v>0</v>
      </c>
      <c r="D47" s="14">
        <v>2</v>
      </c>
    </row>
    <row r="48" spans="1:4" ht="12.75" customHeight="1" thickBot="1">
      <c r="A48" s="13" t="s">
        <v>79</v>
      </c>
      <c r="B48" s="13" t="s">
        <v>80</v>
      </c>
      <c r="C48" s="14">
        <v>0</v>
      </c>
      <c r="D48" s="14">
        <v>2</v>
      </c>
    </row>
    <row r="49" spans="1:4" ht="12.75" customHeight="1" thickBot="1">
      <c r="A49" s="13" t="s">
        <v>81</v>
      </c>
      <c r="B49" s="13" t="s">
        <v>82</v>
      </c>
      <c r="C49" s="14">
        <v>0</v>
      </c>
      <c r="D49" s="14">
        <v>0</v>
      </c>
    </row>
    <row r="50" spans="1:4" ht="12.75" customHeight="1" thickBot="1">
      <c r="A50" s="13" t="s">
        <v>17</v>
      </c>
      <c r="B50" s="13" t="s">
        <v>83</v>
      </c>
      <c r="C50" s="14">
        <v>-19</v>
      </c>
      <c r="D50" s="14">
        <v>-55</v>
      </c>
    </row>
    <row r="51" spans="1:4" ht="12.75" customHeight="1" thickBot="1">
      <c r="A51" s="13" t="s">
        <v>84</v>
      </c>
      <c r="B51" s="13" t="s">
        <v>85</v>
      </c>
      <c r="C51" s="14">
        <v>0</v>
      </c>
      <c r="D51" s="14">
        <v>0</v>
      </c>
    </row>
    <row r="52" spans="1:4" ht="12.75" customHeight="1" thickBot="1">
      <c r="A52" s="13" t="s">
        <v>86</v>
      </c>
      <c r="B52" s="13" t="s">
        <v>87</v>
      </c>
      <c r="C52" s="14">
        <v>-19</v>
      </c>
      <c r="D52" s="14">
        <v>-55</v>
      </c>
    </row>
    <row r="53" spans="1:4" ht="12.75" customHeight="1" thickBot="1">
      <c r="A53" s="13" t="s">
        <v>88</v>
      </c>
      <c r="B53" s="13" t="s">
        <v>89</v>
      </c>
      <c r="C53" s="14">
        <v>0</v>
      </c>
      <c r="D53" s="14">
        <v>0</v>
      </c>
    </row>
    <row r="54" spans="1:4" ht="12.75" customHeight="1" thickBot="1">
      <c r="A54" s="13" t="s">
        <v>90</v>
      </c>
      <c r="B54" s="13" t="s">
        <v>91</v>
      </c>
      <c r="C54" s="14">
        <v>0</v>
      </c>
      <c r="D54" s="14">
        <v>0</v>
      </c>
    </row>
    <row r="55" spans="1:4" ht="12.75" customHeight="1" thickBot="1">
      <c r="A55" s="13" t="s">
        <v>92</v>
      </c>
      <c r="B55" s="13" t="s">
        <v>93</v>
      </c>
      <c r="C55" s="14">
        <v>-103</v>
      </c>
      <c r="D55" s="14">
        <v>-664</v>
      </c>
    </row>
    <row r="56" spans="1:4" ht="12.75" customHeight="1" thickBot="1">
      <c r="A56" s="13" t="s">
        <v>94</v>
      </c>
      <c r="B56" s="13" t="s">
        <v>95</v>
      </c>
      <c r="C56" s="14">
        <v>0</v>
      </c>
      <c r="D56" s="14">
        <v>0</v>
      </c>
    </row>
    <row r="57" spans="1:4" ht="12.75" customHeight="1" thickBot="1">
      <c r="A57" s="13" t="s">
        <v>17</v>
      </c>
      <c r="B57" s="13" t="s">
        <v>96</v>
      </c>
      <c r="C57" s="14">
        <v>0</v>
      </c>
      <c r="D57" s="14">
        <v>0</v>
      </c>
    </row>
    <row r="58" spans="1:4" ht="12.75" customHeight="1" thickBot="1">
      <c r="A58" s="11" t="s">
        <v>17</v>
      </c>
      <c r="B58" s="11" t="s">
        <v>97</v>
      </c>
      <c r="C58" s="12">
        <v>-122</v>
      </c>
      <c r="D58" s="12">
        <v>-717</v>
      </c>
    </row>
    <row r="59" spans="1:4" ht="12.75" customHeight="1" thickBot="1">
      <c r="A59" s="11" t="s">
        <v>17</v>
      </c>
      <c r="B59" s="11" t="s">
        <v>98</v>
      </c>
      <c r="C59" s="12">
        <v>2291</v>
      </c>
      <c r="D59" s="12">
        <v>7855</v>
      </c>
    </row>
    <row r="60" spans="1:4" ht="12.75" customHeight="1" thickBot="1">
      <c r="A60" s="13" t="s">
        <v>99</v>
      </c>
      <c r="B60" s="13" t="s">
        <v>100</v>
      </c>
      <c r="C60" s="14"/>
      <c r="D60" s="14"/>
    </row>
    <row r="61" spans="1:4" ht="12.75" customHeight="1" thickBot="1">
      <c r="A61" s="11" t="s">
        <v>17</v>
      </c>
      <c r="B61" s="11" t="s">
        <v>101</v>
      </c>
      <c r="C61" s="12">
        <v>2291</v>
      </c>
      <c r="D61" s="12">
        <v>7855</v>
      </c>
    </row>
    <row r="62" spans="1:4" ht="12.75" customHeight="1" thickBot="1">
      <c r="A62" s="15"/>
      <c r="B62" s="15" t="s">
        <v>102</v>
      </c>
      <c r="C62" s="15"/>
      <c r="D62" s="15"/>
    </row>
    <row r="63" spans="1:4" ht="21" customHeight="1" thickBot="1">
      <c r="A63" s="13" t="s">
        <v>17</v>
      </c>
      <c r="B63" s="13" t="s">
        <v>103</v>
      </c>
      <c r="C63" s="14"/>
      <c r="D63" s="14"/>
    </row>
    <row r="64" spans="1:4" ht="12.75" customHeight="1" thickBot="1">
      <c r="A64" s="13" t="s">
        <v>17</v>
      </c>
      <c r="B64" s="13" t="s">
        <v>104</v>
      </c>
      <c r="C64" s="14">
        <v>2291</v>
      </c>
      <c r="D64" s="14">
        <v>7855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2017-06-06T12:38:28Z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